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pls\Buildings\People Places\People Places 2018\Tools\Library building calculator\Final\"/>
    </mc:Choice>
  </mc:AlternateContent>
  <xr:revisionPtr revIDLastSave="0" documentId="13_ncr:1_{030B7DDF-869E-4A91-A679-85C1D02889E3}" xr6:coauthVersionLast="41" xr6:coauthVersionMax="41" xr10:uidLastSave="{00000000-0000-0000-0000-000000000000}"/>
  <bookViews>
    <workbookView xWindow="11475" yWindow="0" windowWidth="11910" windowHeight="15495" xr2:uid="{CF9AF7D2-C3EB-43D4-9B6C-50EB2170DB0A}"/>
  </bookViews>
  <sheets>
    <sheet name="Population Calculator" sheetId="1" r:id="rId1"/>
    <sheet name="Service Calculator" sheetId="4" r:id="rId2"/>
    <sheet name="Renovation Calculator" sheetId="5" r:id="rId3"/>
    <sheet name="Formula" sheetId="6" r:id="rId4"/>
    <sheet name="Sheet3" sheetId="3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1" i="4" l="1"/>
  <c r="I30" i="4"/>
  <c r="I19" i="5"/>
  <c r="I18" i="5"/>
  <c r="I17" i="5"/>
  <c r="K21" i="5"/>
  <c r="J31" i="4" l="1"/>
  <c r="K75" i="5" l="1"/>
  <c r="F28" i="5"/>
  <c r="K28" i="5" s="1"/>
  <c r="K81" i="5"/>
  <c r="I87" i="5" s="1"/>
  <c r="F29" i="5"/>
  <c r="K29" i="5" s="1"/>
  <c r="F30" i="5"/>
  <c r="K30" i="5" s="1"/>
  <c r="F31" i="5" l="1"/>
  <c r="J95" i="4"/>
  <c r="G101" i="4" s="1"/>
  <c r="E44" i="4"/>
  <c r="C33" i="6" l="1"/>
  <c r="C13" i="6" l="1"/>
  <c r="D22" i="1"/>
  <c r="C32" i="6"/>
  <c r="D13" i="1" s="1"/>
  <c r="L10" i="5" l="1"/>
  <c r="K88" i="5"/>
  <c r="K79" i="5"/>
  <c r="I85" i="5" s="1"/>
  <c r="K80" i="5"/>
  <c r="I86" i="5" s="1"/>
  <c r="K78" i="5"/>
  <c r="I84" i="5" s="1"/>
  <c r="H71" i="5"/>
  <c r="H72" i="5"/>
  <c r="H73" i="5"/>
  <c r="H70" i="5"/>
  <c r="H61" i="5"/>
  <c r="H62" i="5"/>
  <c r="H63" i="5"/>
  <c r="H64" i="5"/>
  <c r="H65" i="5"/>
  <c r="H66" i="5"/>
  <c r="H67" i="5"/>
  <c r="H60" i="5"/>
  <c r="H55" i="5"/>
  <c r="H56" i="5"/>
  <c r="H57" i="5"/>
  <c r="H54" i="5"/>
  <c r="H49" i="5"/>
  <c r="H50" i="5"/>
  <c r="H51" i="5"/>
  <c r="H48" i="5"/>
  <c r="H43" i="5"/>
  <c r="H44" i="5"/>
  <c r="H45" i="5"/>
  <c r="H42" i="5"/>
  <c r="H37" i="5"/>
  <c r="H38" i="5"/>
  <c r="H39" i="5"/>
  <c r="H36" i="5"/>
  <c r="K33" i="5"/>
  <c r="I8" i="5" s="1"/>
  <c r="H24" i="5"/>
  <c r="H16" i="5" l="1"/>
  <c r="H15" i="5" s="1"/>
  <c r="G16" i="5"/>
  <c r="F90" i="5"/>
  <c r="I28" i="5"/>
  <c r="I29" i="5"/>
  <c r="I30" i="5"/>
  <c r="J93" i="4"/>
  <c r="G99" i="4" s="1"/>
  <c r="J99" i="4" s="1"/>
  <c r="J94" i="4"/>
  <c r="G100" i="4" s="1"/>
  <c r="J100" i="4" s="1"/>
  <c r="J92" i="4"/>
  <c r="G98" i="4" s="1"/>
  <c r="J98" i="4" s="1"/>
  <c r="G42" i="4"/>
  <c r="G43" i="4"/>
  <c r="G41" i="4"/>
  <c r="I29" i="4"/>
  <c r="I28" i="4"/>
  <c r="I27" i="4"/>
  <c r="I21" i="4"/>
  <c r="I20" i="4"/>
  <c r="I19" i="4"/>
  <c r="I18" i="4"/>
  <c r="H26" i="4"/>
  <c r="H27" i="4" s="1"/>
  <c r="G37" i="4" l="1"/>
  <c r="J37" i="4" l="1"/>
  <c r="H43" i="4" s="1"/>
  <c r="J43" i="4" s="1"/>
  <c r="C8" i="6"/>
  <c r="H42" i="4" l="1"/>
  <c r="J42" i="4" s="1"/>
  <c r="H41" i="4"/>
  <c r="J41" i="4" s="1"/>
  <c r="D5" i="6"/>
  <c r="D6" i="6"/>
  <c r="F17" i="4"/>
  <c r="E19" i="4"/>
  <c r="E20" i="4"/>
  <c r="E21" i="4"/>
  <c r="E18" i="4"/>
  <c r="J44" i="4" l="1"/>
  <c r="G47" i="4"/>
  <c r="D9" i="6"/>
  <c r="D10" i="6" s="1"/>
  <c r="J27" i="4"/>
  <c r="J30" i="4"/>
  <c r="J29" i="4"/>
  <c r="J28" i="4"/>
  <c r="F18" i="4"/>
  <c r="H18" i="4" s="1"/>
  <c r="J18" i="4" s="1"/>
  <c r="F21" i="4"/>
  <c r="H21" i="4" s="1"/>
  <c r="J21" i="4" s="1"/>
  <c r="F20" i="4"/>
  <c r="H20" i="4" s="1"/>
  <c r="J20" i="4" s="1"/>
  <c r="F19" i="4"/>
  <c r="H19" i="4" s="1"/>
  <c r="J19" i="4" s="1"/>
  <c r="E17" i="4"/>
  <c r="J32" i="4" l="1"/>
  <c r="J22" i="4"/>
  <c r="E34" i="4" l="1"/>
  <c r="C12" i="6"/>
  <c r="E6" i="6" s="1"/>
  <c r="E5" i="6" l="1"/>
  <c r="G50" i="4"/>
  <c r="J50" i="4" s="1"/>
  <c r="J101" i="4"/>
  <c r="G103" i="4" s="1"/>
  <c r="G84" i="4"/>
  <c r="J84" i="4" s="1"/>
  <c r="G74" i="4"/>
  <c r="J74" i="4" s="1"/>
  <c r="G62" i="4"/>
  <c r="J62" i="4" s="1"/>
  <c r="G53" i="4"/>
  <c r="J53" i="4" s="1"/>
  <c r="G69" i="4"/>
  <c r="J69" i="4" s="1"/>
  <c r="G64" i="4"/>
  <c r="J64" i="4" s="1"/>
  <c r="G76" i="4"/>
  <c r="J76" i="4" s="1"/>
  <c r="G70" i="4"/>
  <c r="J70" i="4" s="1"/>
  <c r="G58" i="4"/>
  <c r="J58" i="4" s="1"/>
  <c r="G77" i="4"/>
  <c r="J77" i="4" s="1"/>
  <c r="G71" i="4"/>
  <c r="J71" i="4" s="1"/>
  <c r="G59" i="4"/>
  <c r="J59" i="4" s="1"/>
  <c r="G78" i="4"/>
  <c r="J78" i="4" s="1"/>
  <c r="G68" i="4"/>
  <c r="J68" i="4" s="1"/>
  <c r="G56" i="4"/>
  <c r="J56" i="4" s="1"/>
  <c r="G85" i="4"/>
  <c r="J85" i="4" s="1"/>
  <c r="G79" i="4"/>
  <c r="J79" i="4" s="1"/>
  <c r="G63" i="4"/>
  <c r="J63" i="4" s="1"/>
  <c r="G51" i="4"/>
  <c r="J51" i="4" s="1"/>
  <c r="G80" i="4"/>
  <c r="J80" i="4" s="1"/>
  <c r="G87" i="4"/>
  <c r="J87" i="4" s="1"/>
  <c r="G81" i="4"/>
  <c r="J81" i="4" s="1"/>
  <c r="G65" i="4"/>
  <c r="J65" i="4" s="1"/>
  <c r="G52" i="4"/>
  <c r="J52" i="4" s="1"/>
  <c r="G75" i="4"/>
  <c r="J75" i="4" s="1"/>
  <c r="G57" i="4"/>
  <c r="J57" i="4" s="1"/>
  <c r="G86" i="4"/>
  <c r="J86" i="4" s="1"/>
  <c r="E14" i="6" l="1"/>
  <c r="E15" i="6" s="1"/>
  <c r="E17" i="6" s="1"/>
  <c r="D24" i="1" s="1"/>
  <c r="G89" i="4"/>
  <c r="F105" i="4" s="1"/>
</calcChain>
</file>

<file path=xl/sharedStrings.xml><?xml version="1.0" encoding="utf-8"?>
<sst xmlns="http://schemas.openxmlformats.org/spreadsheetml/2006/main" count="468" uniqueCount="198">
  <si>
    <t>Population Based Calculator</t>
  </si>
  <si>
    <t>persons</t>
  </si>
  <si>
    <t>Local catchment population</t>
  </si>
  <si>
    <t>Central library population</t>
  </si>
  <si>
    <t>Library floor area required</t>
  </si>
  <si>
    <t>sqm</t>
  </si>
  <si>
    <t>Population Served</t>
  </si>
  <si>
    <t>Floor Area Rate</t>
  </si>
  <si>
    <t>Req Local Floor Area</t>
  </si>
  <si>
    <t>Req Central Floor Area</t>
  </si>
  <si>
    <t>&lt;=15,500 (rate inc circulation)</t>
  </si>
  <si>
    <t>15,501 to &gt;100,000</t>
  </si>
  <si>
    <t>=-6*10^-8*Pop^2+0.379*Pop+500</t>
  </si>
  <si>
    <t>Actual population</t>
  </si>
  <si>
    <t>Required GFA</t>
  </si>
  <si>
    <t>Central population</t>
  </si>
  <si>
    <t>No. sharing central fn</t>
  </si>
  <si>
    <t>Total Floor Area</t>
  </si>
  <si>
    <t>Yes</t>
  </si>
  <si>
    <t>No</t>
  </si>
  <si>
    <t>% of Collection</t>
  </si>
  <si>
    <t>% out on loan</t>
  </si>
  <si>
    <t>Adjusted no. of items</t>
  </si>
  <si>
    <t>Items per sqm</t>
  </si>
  <si>
    <t>Floor Area</t>
  </si>
  <si>
    <t>Collection size</t>
  </si>
  <si>
    <t>Books &amp; vols on shelves</t>
  </si>
  <si>
    <t>Periodicals</t>
  </si>
  <si>
    <t>Non-print material</t>
  </si>
  <si>
    <t>Virtual &amp; digital</t>
  </si>
  <si>
    <t>Collection floor area</t>
  </si>
  <si>
    <t>Area for library computers &amp; personal devices</t>
  </si>
  <si>
    <t>Catchment population</t>
  </si>
  <si>
    <t>Recommended public computers</t>
  </si>
  <si>
    <t>Additional public computers</t>
  </si>
  <si>
    <t>Personal devices (desk space)</t>
  </si>
  <si>
    <t>Personal devices (lounge space)</t>
  </si>
  <si>
    <t>Computers, tablets &amp; other devices floor area</t>
  </si>
  <si>
    <t>Reading, seating &amp; study areas</t>
  </si>
  <si>
    <t>Seating based on population</t>
  </si>
  <si>
    <t>% of seating as desks</t>
  </si>
  <si>
    <t>% of seating as lounges</t>
  </si>
  <si>
    <t>% of seating as group study</t>
  </si>
  <si>
    <t>Service desk</t>
  </si>
  <si>
    <t>Returns</t>
  </si>
  <si>
    <t>Café</t>
  </si>
  <si>
    <t>Service Based Calculator</t>
  </si>
  <si>
    <t>Catchment Population</t>
  </si>
  <si>
    <t>Collection Size</t>
  </si>
  <si>
    <t>% Books</t>
  </si>
  <si>
    <t>% Periodicals</t>
  </si>
  <si>
    <t>% Non-Print</t>
  </si>
  <si>
    <t>% Virtual &amp; Digital</t>
  </si>
  <si>
    <t>Recommended Computers</t>
  </si>
  <si>
    <t>Base Area</t>
  </si>
  <si>
    <t>No. of items</t>
  </si>
  <si>
    <t>No of items / sq m</t>
  </si>
  <si>
    <t>Books &amp; Vols on Shelves</t>
  </si>
  <si>
    <t>Non-Print Material</t>
  </si>
  <si>
    <t>Virtual &amp; Digital</t>
  </si>
  <si>
    <t>Percentage out on loan</t>
  </si>
  <si>
    <t>Computers &amp; Personal Devices</t>
  </si>
  <si>
    <t>Public Computers (minimum)</t>
  </si>
  <si>
    <t>Public Computers/population</t>
  </si>
  <si>
    <t>per 3,000 persons</t>
  </si>
  <si>
    <t>Public Computers (basis)</t>
  </si>
  <si>
    <t>GFA for Public Computers</t>
  </si>
  <si>
    <t>sq m</t>
  </si>
  <si>
    <t>GFA for Personal Devices (desks)</t>
  </si>
  <si>
    <t>GFA for Personal Devices (lounges)</t>
  </si>
  <si>
    <t>Percent of Floor Space as Base</t>
  </si>
  <si>
    <t>Reading, Seating &amp; Study Areas</t>
  </si>
  <si>
    <t>For populations &lt;=2,500</t>
  </si>
  <si>
    <t>seats</t>
  </si>
  <si>
    <t>2,501 to 10,000</t>
  </si>
  <si>
    <t>per extra 1000 persons</t>
  </si>
  <si>
    <t>10,001 to 25,000</t>
  </si>
  <si>
    <t>25,001 to 50,000</t>
  </si>
  <si>
    <t>50,000 to 100,000</t>
  </si>
  <si>
    <t>100,001 to 200,000</t>
  </si>
  <si>
    <t>&gt;200,000</t>
  </si>
  <si>
    <t>Desks</t>
  </si>
  <si>
    <t>Lounges</t>
  </si>
  <si>
    <t>Group Study</t>
  </si>
  <si>
    <t>Other Functional &amp; Service Areas</t>
  </si>
  <si>
    <t>Rec</t>
  </si>
  <si>
    <t>Newspaper &amp; Magazines</t>
  </si>
  <si>
    <t>Children's Story Telling</t>
  </si>
  <si>
    <t>Toy Library</t>
  </si>
  <si>
    <t>Young Adult Area</t>
  </si>
  <si>
    <t>Games area/Digital Media Space</t>
  </si>
  <si>
    <t>Specialist Genre Collection</t>
  </si>
  <si>
    <t>Local &amp; Family History Room</t>
  </si>
  <si>
    <t>Storage for Archive/Conservation</t>
  </si>
  <si>
    <t>IT Training Room</t>
  </si>
  <si>
    <t>Staff Work, Lunch, Lockers</t>
  </si>
  <si>
    <t>Work Area Storage</t>
  </si>
  <si>
    <t>Mobile Library Services Area</t>
  </si>
  <si>
    <t>Central &amp; Regional Work Area</t>
  </si>
  <si>
    <t>Foyer, Lobby, Corridors etc</t>
  </si>
  <si>
    <t>Vertical Circulation (Lifts, Lift Lobby, Stairs)</t>
  </si>
  <si>
    <t>Toilets/Restrooms, Cleaners</t>
  </si>
  <si>
    <t>Planet Equipment, Maintenance</t>
  </si>
  <si>
    <t>Server Room</t>
  </si>
  <si>
    <t>Photocopiers, Digital Equipment</t>
  </si>
  <si>
    <t>Loading Dock, Garbage &amp; Store</t>
  </si>
  <si>
    <t>Stack Area</t>
  </si>
  <si>
    <t>Community Services</t>
  </si>
  <si>
    <t>Exhibition Space</t>
  </si>
  <si>
    <t>Community Kitchen</t>
  </si>
  <si>
    <t>Meeting Room (sqm per person)</t>
  </si>
  <si>
    <t>Small Meeting Room (sqm/person)</t>
  </si>
  <si>
    <t>Makerspaces (sqm per person)</t>
  </si>
  <si>
    <t>Multipurpose room</t>
  </si>
  <si>
    <t>Other functional &amp; service areas</t>
  </si>
  <si>
    <t>Browsing, display &amp; information</t>
  </si>
  <si>
    <t>Newspaper &amp; magazine area</t>
  </si>
  <si>
    <t>Children/youth Areas</t>
  </si>
  <si>
    <t>Children's story telling</t>
  </si>
  <si>
    <t>Toy library</t>
  </si>
  <si>
    <t>Young adult area</t>
  </si>
  <si>
    <t>Games area/digital media space</t>
  </si>
  <si>
    <t>Specialist</t>
  </si>
  <si>
    <t>Specialist genre collection</t>
  </si>
  <si>
    <t>Local &amp; family history room</t>
  </si>
  <si>
    <t>Storage for archive/conservation</t>
  </si>
  <si>
    <t>IT training room</t>
  </si>
  <si>
    <t>Staff</t>
  </si>
  <si>
    <t>Staff work, lunch, lockers</t>
  </si>
  <si>
    <t>Work area storage</t>
  </si>
  <si>
    <t>Mobile library services area</t>
  </si>
  <si>
    <t>Central &amp; regional work area</t>
  </si>
  <si>
    <t>Amenities and ancillary</t>
  </si>
  <si>
    <t>Foyer, lobby, corridors etc</t>
  </si>
  <si>
    <t>Vertical circulation (lifts, lift lobby, stairs)</t>
  </si>
  <si>
    <t>Toilets/restrooms, cleaners</t>
  </si>
  <si>
    <t>Plant, equipment, maintenance</t>
  </si>
  <si>
    <t>Server room</t>
  </si>
  <si>
    <t>Photocopiers, digital equipment</t>
  </si>
  <si>
    <t>Loading dock, garbage &amp; store</t>
  </si>
  <si>
    <t>Stack area</t>
  </si>
  <si>
    <t>Additional services (optional)</t>
  </si>
  <si>
    <t>Community services</t>
  </si>
  <si>
    <t>Exhibition space</t>
  </si>
  <si>
    <t>Community kitchen</t>
  </si>
  <si>
    <t>Meeting Spaces (optional)</t>
  </si>
  <si>
    <t>Meeting room &amp; storage</t>
  </si>
  <si>
    <t>Small meeting rooms</t>
  </si>
  <si>
    <t>Makerspaces &amp; associated storage</t>
  </si>
  <si>
    <t>Multipurpose or training room</t>
  </si>
  <si>
    <t>Sqm per item</t>
  </si>
  <si>
    <t>Area/person</t>
  </si>
  <si>
    <t>Total Gross Floor Area</t>
  </si>
  <si>
    <t>Total reading, seating &amp; study areas</t>
  </si>
  <si>
    <t>Uncommitted GFA</t>
  </si>
  <si>
    <t>Available gross floor area (GFA)</t>
  </si>
  <si>
    <t>Renovation Tool</t>
  </si>
  <si>
    <t>% of GFA in Base Area</t>
  </si>
  <si>
    <t>seating as desks</t>
  </si>
  <si>
    <t>seating as lounges</t>
  </si>
  <si>
    <t>seating as group study</t>
  </si>
  <si>
    <t>No. of rooms</t>
  </si>
  <si>
    <t>No. of people</t>
  </si>
  <si>
    <t>Total other functional &amp; service areas</t>
  </si>
  <si>
    <t>Total meeting spaces</t>
  </si>
  <si>
    <t>Total base area</t>
  </si>
  <si>
    <t>Resident population of Library catchment</t>
  </si>
  <si>
    <t>Do you want to consider the 
non-resident workforce catchment?</t>
  </si>
  <si>
    <t>Non-resident workforce</t>
  </si>
  <si>
    <t>Non-resident workforce for whole LGA</t>
  </si>
  <si>
    <t>Min (m2)</t>
  </si>
  <si>
    <t>Max (m2)</t>
  </si>
  <si>
    <t>Area/Person</t>
  </si>
  <si>
    <t>Percentage of total</t>
  </si>
  <si>
    <t>Total Used GFA</t>
  </si>
  <si>
    <t>Calculations (do not amend)</t>
  </si>
  <si>
    <t>Local Catchment population</t>
  </si>
  <si>
    <t>To start using the service based calculator, please enter the following values:</t>
  </si>
  <si>
    <t xml:space="preserve"> </t>
  </si>
  <si>
    <t>Please note, for populations of fewer than 2,750 persons we recommend a minimum gross floor area of 190sqm.</t>
  </si>
  <si>
    <t>Quick picks, Display &amp; Information</t>
  </si>
  <si>
    <t>Quick picks, display &amp; information</t>
  </si>
  <si>
    <t>Is this a central library with significant workroom requirements?</t>
  </si>
  <si>
    <t>Number of libraries undertaking central library activities</t>
  </si>
  <si>
    <t>Whole LGA population</t>
  </si>
  <si>
    <t>Whole LGA population (including non-resident workforce if considering)</t>
  </si>
  <si>
    <t>Self check units</t>
  </si>
  <si>
    <t>Area for library computers</t>
  </si>
  <si>
    <t>GFA for Self Check</t>
  </si>
  <si>
    <t>No. of Items</t>
  </si>
  <si>
    <t>Recommended floor area</t>
  </si>
  <si>
    <t>Desired floor area</t>
  </si>
  <si>
    <t>Floor area</t>
  </si>
  <si>
    <t>Recommended seats</t>
  </si>
  <si>
    <t>Desired seats</t>
  </si>
  <si>
    <t>Recommended values</t>
  </si>
  <si>
    <t xml:space="preserve">Desired floor area </t>
  </si>
  <si>
    <t>Renovation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</si>
</sst>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3" tint="0.59999389629810485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4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theme="4" tint="0.59999389629810485"/>
      </top>
      <bottom/>
      <diagonal/>
    </border>
    <border>
      <left/>
      <right/>
      <top style="thin">
        <color theme="4" tint="0.59999389629810485"/>
      </top>
      <bottom style="thin">
        <color theme="4" tint="0.59999389629810485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theme="4" tint="0.5999938962981048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indexed="64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 style="thin">
        <color indexed="64"/>
      </left>
      <right/>
      <top/>
      <bottom style="thin">
        <color theme="2" tint="-0.249977111117893"/>
      </bottom>
      <diagonal/>
    </border>
    <border>
      <left/>
      <right/>
      <top/>
      <bottom style="thin">
        <color theme="2" tint="-0.249977111117893"/>
      </bottom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indexed="64"/>
      </left>
      <right/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indexed="64"/>
      </right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indexed="64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indexed="64"/>
      </left>
      <right style="thin">
        <color theme="2" tint="-0.249977111117893"/>
      </right>
      <top style="thin">
        <color theme="2" tint="-0.249977111117893"/>
      </top>
      <bottom style="thin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indexed="64"/>
      </bottom>
      <diagonal/>
    </border>
    <border>
      <left style="thin">
        <color theme="2" tint="-0.249977111117893"/>
      </left>
      <right style="thin">
        <color indexed="64"/>
      </right>
      <top style="thin">
        <color theme="2" tint="-0.249977111117893"/>
      </top>
      <bottom style="thin">
        <color indexed="64"/>
      </bottom>
      <diagonal/>
    </border>
    <border>
      <left style="thin">
        <color indexed="64"/>
      </left>
      <right/>
      <top style="thin">
        <color theme="2" tint="-0.249977111117893"/>
      </top>
      <bottom/>
      <diagonal/>
    </border>
    <border>
      <left/>
      <right/>
      <top style="thin">
        <color theme="2" tint="-0.249977111117893"/>
      </top>
      <bottom/>
      <diagonal/>
    </border>
    <border>
      <left/>
      <right style="thin">
        <color indexed="64"/>
      </right>
      <top/>
      <bottom style="thin">
        <color theme="2" tint="-0.249977111117893"/>
      </bottom>
      <diagonal/>
    </border>
    <border>
      <left/>
      <right style="thin">
        <color indexed="64"/>
      </right>
      <top style="thin">
        <color theme="2" tint="-0.249977111117893"/>
      </top>
      <bottom/>
      <diagonal/>
    </border>
    <border>
      <left style="thin">
        <color indexed="64"/>
      </left>
      <right/>
      <top style="double">
        <color theme="2" tint="-0.249977111117893"/>
      </top>
      <bottom style="double">
        <color theme="2" tint="-0.249977111117893"/>
      </bottom>
      <diagonal/>
    </border>
    <border>
      <left/>
      <right/>
      <top style="double">
        <color theme="2" tint="-0.249977111117893"/>
      </top>
      <bottom style="double">
        <color theme="2" tint="-0.249977111117893"/>
      </bottom>
      <diagonal/>
    </border>
    <border>
      <left/>
      <right style="thin">
        <color indexed="64"/>
      </right>
      <top style="double">
        <color theme="2" tint="-0.249977111117893"/>
      </top>
      <bottom style="double">
        <color theme="2" tint="-0.249977111117893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theme="4" tint="0.59999389629810485"/>
      </right>
      <top style="thin">
        <color indexed="64"/>
      </top>
      <bottom style="thin">
        <color indexed="64"/>
      </bottom>
      <diagonal/>
    </border>
    <border>
      <left style="thin">
        <color theme="4" tint="0.5999938962981048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4" tint="0.79998168889431442"/>
      </right>
      <top/>
      <bottom style="thin">
        <color indexed="64"/>
      </bottom>
      <diagonal/>
    </border>
    <border>
      <left style="thin">
        <color indexed="64"/>
      </left>
      <right style="thin">
        <color theme="4" tint="0.7999816888943144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theme="0"/>
      </top>
      <bottom style="double">
        <color indexed="64"/>
      </bottom>
      <diagonal/>
    </border>
    <border>
      <left/>
      <right/>
      <top style="thin">
        <color theme="4" tint="0.59999389629810485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3">
    <xf numFmtId="0" fontId="0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304">
    <xf numFmtId="0" fontId="0" fillId="0" borderId="0" xfId="0"/>
    <xf numFmtId="0" fontId="0" fillId="3" borderId="0" xfId="0" applyFill="1"/>
    <xf numFmtId="0" fontId="2" fillId="3" borderId="0" xfId="0" applyFont="1" applyFill="1"/>
    <xf numFmtId="9" fontId="0" fillId="3" borderId="0" xfId="1" applyFont="1" applyFill="1" applyAlignment="1">
      <alignment horizontal="center"/>
    </xf>
    <xf numFmtId="0" fontId="0" fillId="2" borderId="0" xfId="0" applyFill="1" applyAlignment="1">
      <alignment wrapText="1"/>
    </xf>
    <xf numFmtId="9" fontId="0" fillId="2" borderId="0" xfId="1" applyFont="1" applyFill="1"/>
    <xf numFmtId="0" fontId="0" fillId="2" borderId="0" xfId="0" applyFill="1" applyAlignment="1">
      <alignment horizontal="right" vertical="center"/>
    </xf>
    <xf numFmtId="9" fontId="0" fillId="2" borderId="0" xfId="1" applyFont="1" applyFill="1" applyAlignment="1">
      <alignment horizontal="right" vertical="center"/>
    </xf>
    <xf numFmtId="0" fontId="14" fillId="2" borderId="0" xfId="0" applyFont="1" applyFill="1"/>
    <xf numFmtId="0" fontId="0" fillId="2" borderId="0" xfId="1" applyNumberFormat="1" applyFont="1" applyFill="1"/>
    <xf numFmtId="9" fontId="4" fillId="2" borderId="0" xfId="1" applyFont="1" applyFill="1"/>
    <xf numFmtId="0" fontId="0" fillId="0" borderId="0" xfId="0" applyProtection="1"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0" fillId="3" borderId="0" xfId="0" applyFill="1" applyProtection="1">
      <protection locked="0"/>
    </xf>
    <xf numFmtId="0" fontId="1" fillId="3" borderId="0" xfId="0" applyFont="1" applyFill="1" applyProtection="1">
      <protection locked="0"/>
    </xf>
    <xf numFmtId="0" fontId="1" fillId="3" borderId="0" xfId="0" applyFont="1" applyFill="1" applyAlignment="1" applyProtection="1">
      <alignment horizontal="center" vertical="center" wrapText="1"/>
      <protection locked="0"/>
    </xf>
    <xf numFmtId="3" fontId="1" fillId="3" borderId="0" xfId="0" applyNumberFormat="1" applyFont="1" applyFill="1" applyAlignment="1" applyProtection="1">
      <alignment vertical="center"/>
      <protection locked="0"/>
    </xf>
    <xf numFmtId="0" fontId="0" fillId="3" borderId="0" xfId="0" applyFill="1" applyAlignment="1" applyProtection="1">
      <alignment vertical="center"/>
      <protection locked="0"/>
    </xf>
    <xf numFmtId="0" fontId="0" fillId="3" borderId="0" xfId="0" applyFill="1" applyAlignment="1" applyProtection="1">
      <alignment horizontal="right"/>
      <protection locked="0"/>
    </xf>
    <xf numFmtId="3" fontId="0" fillId="3" borderId="0" xfId="0" applyNumberFormat="1" applyFill="1" applyAlignment="1" applyProtection="1">
      <alignment vertical="center"/>
      <protection locked="0"/>
    </xf>
    <xf numFmtId="3" fontId="10" fillId="3" borderId="2" xfId="0" applyNumberFormat="1" applyFont="1" applyFill="1" applyBorder="1" applyAlignment="1" applyProtection="1">
      <alignment horizontal="right" vertical="center"/>
      <protection locked="0"/>
    </xf>
    <xf numFmtId="0" fontId="10" fillId="3" borderId="2" xfId="0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 wrapText="1" indent="2"/>
      <protection locked="0"/>
    </xf>
    <xf numFmtId="3" fontId="0" fillId="2" borderId="0" xfId="0" applyNumberForma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3" fontId="1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Protection="1">
      <protection locked="0"/>
    </xf>
    <xf numFmtId="0" fontId="0" fillId="2" borderId="0" xfId="0" applyFill="1" applyAlignment="1" applyProtection="1">
      <alignment horizontal="right"/>
      <protection locked="0"/>
    </xf>
    <xf numFmtId="0" fontId="0" fillId="2" borderId="0" xfId="0" applyFill="1" applyAlignment="1" applyProtection="1">
      <alignment horizontal="left" indent="2"/>
      <protection locked="0"/>
    </xf>
    <xf numFmtId="0" fontId="1" fillId="2" borderId="0" xfId="0" applyFont="1" applyFill="1" applyAlignment="1" applyProtection="1">
      <alignment vertical="center" wrapText="1"/>
      <protection locked="0"/>
    </xf>
    <xf numFmtId="0" fontId="15" fillId="2" borderId="0" xfId="0" applyFont="1" applyFill="1"/>
    <xf numFmtId="0" fontId="0" fillId="2" borderId="4" xfId="0" applyFill="1" applyBorder="1"/>
    <xf numFmtId="0" fontId="0" fillId="2" borderId="0" xfId="1" applyNumberFormat="1" applyFont="1" applyFill="1" applyAlignment="1">
      <alignment horizontal="right" vertical="center"/>
    </xf>
    <xf numFmtId="0" fontId="0" fillId="2" borderId="4" xfId="0" applyFill="1" applyBorder="1" applyAlignment="1">
      <alignment vertical="center" wrapText="1"/>
    </xf>
    <xf numFmtId="0" fontId="17" fillId="2" borderId="0" xfId="0" applyFont="1" applyFill="1" applyAlignment="1">
      <alignment vertical="center"/>
    </xf>
    <xf numFmtId="1" fontId="0" fillId="2" borderId="0" xfId="1" applyNumberFormat="1" applyFont="1" applyFill="1" applyAlignment="1">
      <alignment horizontal="right" vertical="center"/>
    </xf>
    <xf numFmtId="3" fontId="0" fillId="2" borderId="0" xfId="0" applyNumberFormat="1" applyFill="1"/>
    <xf numFmtId="3" fontId="0" fillId="3" borderId="0" xfId="0" applyNumberFormat="1" applyFill="1"/>
    <xf numFmtId="9" fontId="0" fillId="3" borderId="0" xfId="1" applyFont="1" applyFill="1" applyAlignment="1">
      <alignment horizontal="right" vertical="center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3" fontId="18" fillId="2" borderId="7" xfId="0" applyNumberFormat="1" applyFont="1" applyFill="1" applyBorder="1"/>
    <xf numFmtId="0" fontId="18" fillId="2" borderId="7" xfId="0" applyFont="1" applyFill="1" applyBorder="1"/>
    <xf numFmtId="0" fontId="18" fillId="2" borderId="7" xfId="0" applyFont="1" applyFill="1" applyBorder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 vertical="center" wrapText="1"/>
    </xf>
    <xf numFmtId="0" fontId="0" fillId="3" borderId="0" xfId="0" applyFill="1" applyAlignment="1">
      <alignment wrapText="1"/>
    </xf>
    <xf numFmtId="0" fontId="21" fillId="3" borderId="0" xfId="0" applyFont="1" applyFill="1" applyAlignment="1">
      <alignment wrapText="1"/>
    </xf>
    <xf numFmtId="0" fontId="4" fillId="3" borderId="8" xfId="0" applyFont="1" applyFill="1" applyBorder="1" applyAlignment="1">
      <alignment horizontal="right" vertical="center"/>
    </xf>
    <xf numFmtId="0" fontId="0" fillId="3" borderId="8" xfId="0" applyFill="1" applyBorder="1"/>
    <xf numFmtId="9" fontId="4" fillId="3" borderId="9" xfId="1" applyFont="1" applyFill="1" applyBorder="1" applyAlignment="1">
      <alignment horizontal="right" vertical="center"/>
    </xf>
    <xf numFmtId="0" fontId="4" fillId="3" borderId="9" xfId="0" applyFont="1" applyFill="1" applyBorder="1"/>
    <xf numFmtId="0" fontId="0" fillId="3" borderId="4" xfId="0" applyFill="1" applyBorder="1"/>
    <xf numFmtId="0" fontId="1" fillId="2" borderId="0" xfId="0" applyFont="1" applyFill="1" applyAlignment="1">
      <alignment horizontal="left" wrapText="1"/>
    </xf>
    <xf numFmtId="9" fontId="11" fillId="2" borderId="0" xfId="1" applyFill="1"/>
    <xf numFmtId="0" fontId="5" fillId="2" borderId="2" xfId="0" applyFont="1" applyFill="1" applyBorder="1" applyAlignment="1">
      <alignment vertical="center"/>
    </xf>
    <xf numFmtId="0" fontId="0" fillId="0" borderId="12" xfId="0" applyBorder="1"/>
    <xf numFmtId="0" fontId="0" fillId="0" borderId="13" xfId="0" applyBorder="1"/>
    <xf numFmtId="0" fontId="0" fillId="0" borderId="12" xfId="0" applyBorder="1" applyAlignment="1">
      <alignment horizontal="left"/>
    </xf>
    <xf numFmtId="0" fontId="0" fillId="0" borderId="14" xfId="0" applyBorder="1"/>
    <xf numFmtId="0" fontId="0" fillId="0" borderId="9" xfId="0" applyBorder="1"/>
    <xf numFmtId="0" fontId="0" fillId="0" borderId="15" xfId="0" applyBorder="1"/>
    <xf numFmtId="0" fontId="0" fillId="0" borderId="16" xfId="0" applyBorder="1"/>
    <xf numFmtId="9" fontId="0" fillId="3" borderId="16" xfId="1" applyFont="1" applyFill="1" applyBorder="1"/>
    <xf numFmtId="0" fontId="0" fillId="0" borderId="17" xfId="0" applyBorder="1"/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wrapText="1"/>
    </xf>
    <xf numFmtId="0" fontId="4" fillId="3" borderId="16" xfId="0" applyFont="1" applyFill="1" applyBorder="1"/>
    <xf numFmtId="0" fontId="7" fillId="0" borderId="16" xfId="0" quotePrefix="1" applyFont="1" applyBorder="1"/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wrapText="1"/>
    </xf>
    <xf numFmtId="0" fontId="0" fillId="0" borderId="20" xfId="0" applyBorder="1"/>
    <xf numFmtId="0" fontId="0" fillId="3" borderId="16" xfId="0" applyFill="1" applyBorder="1"/>
    <xf numFmtId="0" fontId="0" fillId="0" borderId="16" xfId="0" applyBorder="1" applyAlignment="1">
      <alignment horizontal="center"/>
    </xf>
    <xf numFmtId="0" fontId="0" fillId="3" borderId="20" xfId="0" applyFill="1" applyBorder="1"/>
    <xf numFmtId="0" fontId="0" fillId="0" borderId="24" xfId="0" applyBorder="1"/>
    <xf numFmtId="0" fontId="0" fillId="3" borderId="16" xfId="0" applyFill="1" applyBorder="1" applyAlignment="1">
      <alignment horizontal="center"/>
    </xf>
    <xf numFmtId="9" fontId="0" fillId="3" borderId="16" xfId="1" applyFont="1" applyFill="1" applyBorder="1" applyAlignment="1">
      <alignment horizontal="center"/>
    </xf>
    <xf numFmtId="0" fontId="0" fillId="0" borderId="10" xfId="0" applyBorder="1"/>
    <xf numFmtId="0" fontId="0" fillId="0" borderId="8" xfId="0" applyBorder="1"/>
    <xf numFmtId="0" fontId="0" fillId="0" borderId="11" xfId="0" applyBorder="1"/>
    <xf numFmtId="0" fontId="2" fillId="0" borderId="17" xfId="0" applyFont="1" applyBorder="1"/>
    <xf numFmtId="0" fontId="0" fillId="0" borderId="26" xfId="0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0" borderId="28" xfId="0" applyBorder="1"/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16" xfId="1" applyNumberFormat="1" applyFont="1" applyFill="1" applyBorder="1" applyAlignment="1">
      <alignment horizontal="center"/>
    </xf>
    <xf numFmtId="0" fontId="0" fillId="0" borderId="31" xfId="0" applyBorder="1" applyAlignment="1">
      <alignment horizontal="left"/>
    </xf>
    <xf numFmtId="3" fontId="0" fillId="0" borderId="32" xfId="0" applyNumberFormat="1" applyBorder="1"/>
    <xf numFmtId="0" fontId="0" fillId="0" borderId="32" xfId="0" applyBorder="1"/>
    <xf numFmtId="0" fontId="0" fillId="0" borderId="21" xfId="0" applyBorder="1" applyAlignment="1">
      <alignment horizontal="left"/>
    </xf>
    <xf numFmtId="0" fontId="0" fillId="0" borderId="22" xfId="0" applyBorder="1"/>
    <xf numFmtId="0" fontId="0" fillId="0" borderId="33" xfId="0" applyBorder="1"/>
    <xf numFmtId="0" fontId="0" fillId="0" borderId="34" xfId="0" applyBorder="1"/>
    <xf numFmtId="0" fontId="1" fillId="0" borderId="35" xfId="0" applyFont="1" applyBorder="1" applyAlignment="1">
      <alignment horizontal="left"/>
    </xf>
    <xf numFmtId="0" fontId="0" fillId="0" borderId="36" xfId="0" applyBorder="1"/>
    <xf numFmtId="0" fontId="0" fillId="0" borderId="37" xfId="0" applyBorder="1"/>
    <xf numFmtId="1" fontId="18" fillId="2" borderId="7" xfId="0" applyNumberFormat="1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0" fontId="0" fillId="2" borderId="2" xfId="0" applyFill="1" applyBorder="1" applyAlignment="1">
      <alignment horizontal="left"/>
    </xf>
    <xf numFmtId="0" fontId="0" fillId="2" borderId="6" xfId="0" applyFill="1" applyBorder="1"/>
    <xf numFmtId="0" fontId="0" fillId="2" borderId="3" xfId="0" applyFill="1" applyBorder="1"/>
    <xf numFmtId="0" fontId="0" fillId="3" borderId="3" xfId="0" applyFill="1" applyBorder="1"/>
    <xf numFmtId="0" fontId="1" fillId="2" borderId="0" xfId="0" applyFont="1" applyFill="1"/>
    <xf numFmtId="1" fontId="0" fillId="3" borderId="0" xfId="0" applyNumberFormat="1" applyFill="1"/>
    <xf numFmtId="1" fontId="0" fillId="2" borderId="0" xfId="0" applyNumberFormat="1" applyFill="1"/>
    <xf numFmtId="0" fontId="0" fillId="2" borderId="4" xfId="0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4" fillId="2" borderId="0" xfId="1" applyNumberFormat="1" applyFont="1" applyFill="1" applyAlignment="1">
      <alignment horizontal="center" vertical="center"/>
    </xf>
    <xf numFmtId="3" fontId="0" fillId="2" borderId="0" xfId="1" applyNumberFormat="1" applyFont="1" applyFill="1"/>
    <xf numFmtId="0" fontId="6" fillId="2" borderId="0" xfId="0" applyFont="1" applyFill="1"/>
    <xf numFmtId="3" fontId="0" fillId="2" borderId="0" xfId="0" applyNumberFormat="1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2" xfId="0" applyFill="1" applyBorder="1" applyAlignment="1">
      <alignment vertical="center"/>
    </xf>
    <xf numFmtId="3" fontId="0" fillId="2" borderId="2" xfId="0" applyNumberFormat="1" applyFill="1" applyBorder="1" applyAlignment="1">
      <alignment vertical="center"/>
    </xf>
    <xf numFmtId="0" fontId="0" fillId="2" borderId="38" xfId="0" applyFill="1" applyBorder="1"/>
    <xf numFmtId="0" fontId="1" fillId="3" borderId="7" xfId="0" applyFont="1" applyFill="1" applyBorder="1" applyAlignment="1" applyProtection="1">
      <alignment horizontal="center" vertical="center" wrapText="1"/>
      <protection locked="0"/>
    </xf>
    <xf numFmtId="3" fontId="2" fillId="3" borderId="7" xfId="0" applyNumberFormat="1" applyFont="1" applyFill="1" applyBorder="1" applyAlignment="1">
      <alignment vertical="center"/>
    </xf>
    <xf numFmtId="0" fontId="9" fillId="3" borderId="7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1" fontId="19" fillId="2" borderId="7" xfId="0" applyNumberFormat="1" applyFont="1" applyFill="1" applyBorder="1" applyAlignment="1">
      <alignment vertical="center"/>
    </xf>
    <xf numFmtId="0" fontId="19" fillId="2" borderId="7" xfId="0" applyFont="1" applyFill="1" applyBorder="1" applyAlignment="1">
      <alignment vertical="center"/>
    </xf>
    <xf numFmtId="0" fontId="16" fillId="2" borderId="2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0" fillId="3" borderId="0" xfId="0" applyFill="1" applyAlignment="1">
      <alignment horizontal="right" vertical="center"/>
    </xf>
    <xf numFmtId="0" fontId="13" fillId="2" borderId="0" xfId="0" applyFont="1" applyFill="1" applyAlignment="1">
      <alignment horizontal="right"/>
    </xf>
    <xf numFmtId="0" fontId="3" fillId="3" borderId="0" xfId="0" applyFont="1" applyFill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2" fillId="3" borderId="0" xfId="0" applyFont="1" applyFill="1" applyAlignment="1">
      <alignment horizontal="left"/>
    </xf>
    <xf numFmtId="0" fontId="12" fillId="2" borderId="7" xfId="0" applyFont="1" applyFill="1" applyBorder="1"/>
    <xf numFmtId="0" fontId="0" fillId="3" borderId="0" xfId="1" applyNumberFormat="1" applyFont="1" applyFill="1"/>
    <xf numFmtId="0" fontId="0" fillId="0" borderId="0" xfId="0" applyAlignment="1">
      <alignment horizontal="right"/>
    </xf>
    <xf numFmtId="0" fontId="20" fillId="3" borderId="0" xfId="0" applyFont="1" applyFill="1"/>
    <xf numFmtId="3" fontId="0" fillId="3" borderId="41" xfId="0" applyNumberFormat="1" applyFill="1" applyBorder="1" applyAlignment="1" applyProtection="1">
      <alignment vertical="center"/>
      <protection locked="0"/>
    </xf>
    <xf numFmtId="3" fontId="0" fillId="3" borderId="42" xfId="0" applyNumberFormat="1" applyFill="1" applyBorder="1" applyAlignment="1" applyProtection="1">
      <alignment vertical="center"/>
      <protection locked="0"/>
    </xf>
    <xf numFmtId="0" fontId="0" fillId="3" borderId="12" xfId="0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22" fillId="3" borderId="19" xfId="0" applyFont="1" applyFill="1" applyBorder="1" applyAlignment="1" applyProtection="1">
      <alignment vertical="center"/>
      <protection locked="0"/>
    </xf>
    <xf numFmtId="0" fontId="22" fillId="3" borderId="15" xfId="0" applyFont="1" applyFill="1" applyBorder="1" applyAlignment="1" applyProtection="1">
      <alignment vertical="center"/>
      <protection locked="0"/>
    </xf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9" xfId="0" applyFill="1" applyBorder="1"/>
    <xf numFmtId="0" fontId="0" fillId="3" borderId="15" xfId="0" applyFill="1" applyBorder="1"/>
    <xf numFmtId="0" fontId="0" fillId="2" borderId="10" xfId="0" applyFill="1" applyBorder="1"/>
    <xf numFmtId="0" fontId="0" fillId="2" borderId="8" xfId="0" applyFill="1" applyBorder="1"/>
    <xf numFmtId="0" fontId="0" fillId="2" borderId="8" xfId="0" applyFill="1" applyBorder="1" applyAlignment="1">
      <alignment wrapText="1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3" xfId="0" applyFill="1" applyBorder="1" applyAlignment="1">
      <alignment horizontal="left"/>
    </xf>
    <xf numFmtId="3" fontId="0" fillId="0" borderId="0" xfId="0" applyNumberFormat="1" applyAlignment="1">
      <alignment vertical="center"/>
    </xf>
    <xf numFmtId="0" fontId="23" fillId="3" borderId="0" xfId="0" applyFont="1" applyFill="1"/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/>
    </xf>
    <xf numFmtId="9" fontId="0" fillId="2" borderId="43" xfId="1" applyFont="1" applyFill="1" applyBorder="1" applyAlignment="1">
      <alignment horizontal="center"/>
    </xf>
    <xf numFmtId="9" fontId="0" fillId="2" borderId="1" xfId="1" applyFont="1" applyFill="1" applyBorder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0" fontId="9" fillId="3" borderId="0" xfId="0" applyFont="1" applyFill="1"/>
    <xf numFmtId="3" fontId="16" fillId="2" borderId="2" xfId="0" applyNumberFormat="1" applyFont="1" applyFill="1" applyBorder="1" applyAlignment="1">
      <alignment horizontal="right" vertical="center"/>
    </xf>
    <xf numFmtId="3" fontId="0" fillId="0" borderId="32" xfId="0" applyNumberFormat="1" applyBorder="1" applyAlignment="1">
      <alignment horizontal="right"/>
    </xf>
    <xf numFmtId="3" fontId="2" fillId="3" borderId="7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right" vertical="top"/>
    </xf>
    <xf numFmtId="9" fontId="0" fillId="2" borderId="7" xfId="1" applyFont="1" applyFill="1" applyBorder="1"/>
    <xf numFmtId="0" fontId="0" fillId="3" borderId="29" xfId="1" applyNumberFormat="1" applyFont="1" applyFill="1" applyBorder="1" applyAlignment="1">
      <alignment horizontal="center"/>
    </xf>
    <xf numFmtId="9" fontId="0" fillId="3" borderId="0" xfId="1" applyFont="1" applyFill="1"/>
    <xf numFmtId="9" fontId="0" fillId="3" borderId="3" xfId="1" applyFont="1" applyFill="1" applyBorder="1"/>
    <xf numFmtId="0" fontId="0" fillId="0" borderId="9" xfId="0" applyBorder="1" applyAlignment="1">
      <alignment horizontal="right"/>
    </xf>
    <xf numFmtId="0" fontId="0" fillId="3" borderId="8" xfId="0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0" fillId="3" borderId="9" xfId="0" applyFill="1" applyBorder="1" applyAlignment="1">
      <alignment wrapText="1"/>
    </xf>
    <xf numFmtId="0" fontId="0" fillId="2" borderId="14" xfId="0" applyFill="1" applyBorder="1"/>
    <xf numFmtId="0" fontId="16" fillId="2" borderId="9" xfId="0" applyFont="1" applyFill="1" applyBorder="1"/>
    <xf numFmtId="0" fontId="0" fillId="2" borderId="9" xfId="0" applyFill="1" applyBorder="1"/>
    <xf numFmtId="0" fontId="0" fillId="2" borderId="15" xfId="0" applyFill="1" applyBorder="1"/>
    <xf numFmtId="0" fontId="8" fillId="2" borderId="0" xfId="0" applyFont="1" applyFill="1" applyAlignment="1">
      <alignment horizontal="center" wrapText="1"/>
    </xf>
    <xf numFmtId="0" fontId="0" fillId="3" borderId="3" xfId="0" applyFill="1" applyBorder="1" applyAlignment="1">
      <alignment vertical="top"/>
    </xf>
    <xf numFmtId="0" fontId="0" fillId="2" borderId="5" xfId="0" applyFill="1" applyBorder="1" applyAlignment="1">
      <alignment horizontal="right" vertical="top"/>
    </xf>
    <xf numFmtId="9" fontId="0" fillId="2" borderId="45" xfId="1" applyFont="1" applyFill="1" applyBorder="1"/>
    <xf numFmtId="1" fontId="0" fillId="2" borderId="2" xfId="0" applyNumberFormat="1" applyFill="1" applyBorder="1" applyAlignment="1">
      <alignment horizontal="right" vertical="center"/>
    </xf>
    <xf numFmtId="0" fontId="0" fillId="2" borderId="5" xfId="0" applyFill="1" applyBorder="1" applyAlignment="1">
      <alignment horizontal="right" vertical="center"/>
    </xf>
    <xf numFmtId="9" fontId="6" fillId="3" borderId="0" xfId="1" applyFont="1" applyFill="1" applyAlignment="1">
      <alignment horizontal="right"/>
    </xf>
    <xf numFmtId="9" fontId="4" fillId="3" borderId="0" xfId="1" applyFont="1" applyFill="1" applyAlignment="1">
      <alignment horizontal="right"/>
    </xf>
    <xf numFmtId="1" fontId="4" fillId="2" borderId="0" xfId="0" applyNumberFormat="1" applyFont="1" applyFill="1"/>
    <xf numFmtId="165" fontId="4" fillId="2" borderId="0" xfId="1" applyNumberFormat="1" applyFont="1" applyFill="1"/>
    <xf numFmtId="165" fontId="4" fillId="2" borderId="0" xfId="0" applyNumberFormat="1" applyFont="1" applyFill="1"/>
    <xf numFmtId="3" fontId="4" fillId="2" borderId="0" xfId="0" applyNumberFormat="1" applyFont="1" applyFill="1" applyAlignment="1">
      <alignment horizontal="right"/>
    </xf>
    <xf numFmtId="3" fontId="4" fillId="2" borderId="0" xfId="0" applyNumberFormat="1" applyFont="1" applyFill="1"/>
    <xf numFmtId="3" fontId="4" fillId="3" borderId="0" xfId="0" applyNumberFormat="1" applyFont="1" applyFill="1"/>
    <xf numFmtId="3" fontId="4" fillId="2" borderId="7" xfId="0" applyNumberFormat="1" applyFont="1" applyFill="1" applyBorder="1"/>
    <xf numFmtId="3" fontId="4" fillId="2" borderId="0" xfId="1" applyNumberFormat="1" applyFont="1" applyFill="1"/>
    <xf numFmtId="3" fontId="0" fillId="2" borderId="3" xfId="0" applyNumberFormat="1" applyFill="1" applyBorder="1" applyAlignment="1">
      <alignment vertical="center" wrapText="1"/>
    </xf>
    <xf numFmtId="3" fontId="0" fillId="3" borderId="3" xfId="0" applyNumberFormat="1" applyFill="1" applyBorder="1" applyAlignment="1">
      <alignment horizontal="right" vertical="center" wrapText="1"/>
    </xf>
    <xf numFmtId="3" fontId="0" fillId="3" borderId="0" xfId="0" applyNumberFormat="1" applyFill="1" applyAlignment="1">
      <alignment horizontal="right" vertical="center" wrapText="1"/>
    </xf>
    <xf numFmtId="0" fontId="2" fillId="3" borderId="0" xfId="0" applyFont="1" applyFill="1" applyAlignment="1" applyProtection="1">
      <alignment horizontal="left"/>
      <protection locked="0"/>
    </xf>
    <xf numFmtId="0" fontId="1" fillId="3" borderId="0" xfId="0" applyFont="1" applyFill="1" applyAlignment="1" applyProtection="1">
      <alignment horizontal="left"/>
      <protection locked="0"/>
    </xf>
    <xf numFmtId="0" fontId="2" fillId="3" borderId="0" xfId="0" applyFont="1" applyFill="1" applyAlignment="1" applyProtection="1">
      <alignment horizontal="left" wrapText="1"/>
      <protection locked="0"/>
    </xf>
    <xf numFmtId="0" fontId="0" fillId="3" borderId="0" xfId="0" applyFill="1" applyAlignment="1" applyProtection="1">
      <alignment horizontal="left" wrapText="1"/>
      <protection locked="0"/>
    </xf>
    <xf numFmtId="0" fontId="0" fillId="3" borderId="0" xfId="0" applyFill="1" applyAlignment="1" applyProtection="1">
      <alignment horizontal="left"/>
      <protection locked="0"/>
    </xf>
    <xf numFmtId="0" fontId="1" fillId="3" borderId="7" xfId="0" applyFont="1" applyFill="1" applyBorder="1" applyAlignment="1" applyProtection="1">
      <alignment horizontal="left" wrapText="1"/>
      <protection locked="0"/>
    </xf>
    <xf numFmtId="0" fontId="0" fillId="2" borderId="46" xfId="0" applyFill="1" applyBorder="1" applyAlignment="1">
      <alignment horizontal="left" vertical="center" wrapText="1"/>
    </xf>
    <xf numFmtId="0" fontId="0" fillId="2" borderId="3" xfId="0" applyFill="1" applyBorder="1" applyAlignment="1">
      <alignment vertical="center" wrapText="1"/>
    </xf>
    <xf numFmtId="0" fontId="0" fillId="2" borderId="3" xfId="0" applyFill="1" applyBorder="1" applyAlignment="1">
      <alignment vertical="center"/>
    </xf>
    <xf numFmtId="0" fontId="0" fillId="2" borderId="47" xfId="0" applyFill="1" applyBorder="1"/>
    <xf numFmtId="0" fontId="0" fillId="2" borderId="48" xfId="0" applyFill="1" applyBorder="1"/>
    <xf numFmtId="0" fontId="0" fillId="2" borderId="49" xfId="0" applyFill="1" applyBorder="1"/>
    <xf numFmtId="0" fontId="0" fillId="3" borderId="0" xfId="0" applyFill="1" applyAlignment="1">
      <alignment vertical="top"/>
    </xf>
    <xf numFmtId="0" fontId="1" fillId="0" borderId="12" xfId="0" applyFont="1" applyBorder="1" applyAlignment="1">
      <alignment horizontal="left"/>
    </xf>
    <xf numFmtId="0" fontId="1" fillId="2" borderId="3" xfId="0" applyFont="1" applyFill="1" applyBorder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164" fontId="8" fillId="2" borderId="39" xfId="2" applyNumberFormat="1" applyFont="1" applyFill="1" applyBorder="1" applyAlignment="1" applyProtection="1">
      <alignment horizontal="center"/>
      <protection locked="0"/>
    </xf>
    <xf numFmtId="164" fontId="8" fillId="2" borderId="40" xfId="2" applyNumberFormat="1" applyFont="1" applyFill="1" applyBorder="1" applyAlignment="1" applyProtection="1">
      <alignment horizontal="center"/>
      <protection locked="0"/>
    </xf>
    <xf numFmtId="0" fontId="8" fillId="2" borderId="18" xfId="0" applyFont="1" applyFill="1" applyBorder="1" applyAlignment="1" applyProtection="1">
      <alignment horizontal="center"/>
      <protection locked="0"/>
    </xf>
    <xf numFmtId="0" fontId="8" fillId="2" borderId="19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3" borderId="39" xfId="0" applyFill="1" applyBorder="1" applyAlignment="1" applyProtection="1">
      <alignment horizontal="center"/>
      <protection locked="0"/>
    </xf>
    <xf numFmtId="0" fontId="0" fillId="3" borderId="40" xfId="0" applyFill="1" applyBorder="1" applyAlignment="1" applyProtection="1">
      <alignment horizont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3" fillId="2" borderId="0" xfId="0" applyFont="1" applyFill="1" applyAlignment="1">
      <alignment horizontal="right"/>
    </xf>
    <xf numFmtId="0" fontId="0" fillId="0" borderId="3" xfId="0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 wrapText="1"/>
    </xf>
    <xf numFmtId="0" fontId="0" fillId="3" borderId="3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3" borderId="10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 wrapText="1"/>
    </xf>
    <xf numFmtId="0" fontId="18" fillId="2" borderId="7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/>
    </xf>
    <xf numFmtId="0" fontId="18" fillId="2" borderId="7" xfId="0" applyFont="1" applyFill="1" applyBorder="1" applyAlignment="1">
      <alignment horizontal="left"/>
    </xf>
    <xf numFmtId="0" fontId="22" fillId="3" borderId="0" xfId="0" applyFont="1" applyFill="1" applyAlignment="1">
      <alignment horizontal="left" vertical="top" wrapText="1"/>
    </xf>
    <xf numFmtId="0" fontId="12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wrapText="1"/>
    </xf>
    <xf numFmtId="0" fontId="0" fillId="2" borderId="19" xfId="0" applyFill="1" applyBorder="1" applyAlignment="1">
      <alignment horizontal="center" wrapText="1"/>
    </xf>
    <xf numFmtId="0" fontId="0" fillId="2" borderId="0" xfId="0" applyFill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/>
    </xf>
    <xf numFmtId="0" fontId="25" fillId="3" borderId="0" xfId="0" applyFont="1" applyFill="1" applyAlignment="1">
      <alignment horizontal="right"/>
    </xf>
    <xf numFmtId="0" fontId="0" fillId="2" borderId="3" xfId="0" applyFill="1" applyBorder="1" applyAlignment="1">
      <alignment horizontal="right" vertical="top"/>
    </xf>
    <xf numFmtId="0" fontId="1" fillId="2" borderId="4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right" vertical="center"/>
    </xf>
    <xf numFmtId="0" fontId="4" fillId="2" borderId="19" xfId="0" applyFont="1" applyFill="1" applyBorder="1" applyAlignment="1">
      <alignment horizontal="right" vertical="center"/>
    </xf>
    <xf numFmtId="1" fontId="24" fillId="3" borderId="9" xfId="0" applyNumberFormat="1" applyFont="1" applyFill="1" applyBorder="1" applyAlignment="1">
      <alignment horizontal="right" vertical="center"/>
    </xf>
    <xf numFmtId="0" fontId="24" fillId="3" borderId="9" xfId="0" applyFont="1" applyFill="1" applyBorder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0" fillId="2" borderId="3" xfId="0" applyFill="1" applyBorder="1" applyAlignment="1">
      <alignment horizontal="right" vertic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5" borderId="44" xfId="0" applyFill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12" fillId="4" borderId="18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4" borderId="19" xfId="0" applyFont="1" applyFill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3">
    <cellStyle name="Comma" xfId="2" builtinId="3"/>
    <cellStyle name="Normal" xfId="0" builtinId="0"/>
    <cellStyle name="Percent" xfId="1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 patternType="lightUp"/>
      </fill>
    </dxf>
    <dxf>
      <font>
        <color auto="1"/>
      </font>
      <fill>
        <patternFill patternType="lightUp">
          <bgColor theme="4" tint="0.79998168889431442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3F664-1EF1-482E-9EB3-040ACD1F393F}">
  <dimension ref="B2:H43"/>
  <sheetViews>
    <sheetView showGridLines="0" tabSelected="1" workbookViewId="0">
      <selection activeCell="N18" sqref="N18"/>
    </sheetView>
  </sheetViews>
  <sheetFormatPr defaultRowHeight="15" x14ac:dyDescent="0.25"/>
  <cols>
    <col min="1" max="1" width="3.5703125" style="11" customWidth="1"/>
    <col min="2" max="2" width="9.140625" style="11"/>
    <col min="3" max="3" width="45.28515625" style="11" customWidth="1"/>
    <col min="4" max="4" width="9.140625" style="11"/>
    <col min="5" max="5" width="8.140625" style="11" customWidth="1"/>
    <col min="6" max="16384" width="9.140625" style="11"/>
  </cols>
  <sheetData>
    <row r="2" spans="2:8" ht="15" customHeight="1" x14ac:dyDescent="0.25">
      <c r="B2" s="238" t="s">
        <v>0</v>
      </c>
      <c r="C2" s="239"/>
      <c r="D2" s="239"/>
      <c r="E2" s="239"/>
      <c r="F2" s="240"/>
      <c r="G2" s="12"/>
      <c r="H2" s="12"/>
    </row>
    <row r="3" spans="2:8" ht="23.25" customHeight="1" x14ac:dyDescent="0.25">
      <c r="B3" s="241"/>
      <c r="C3" s="242"/>
      <c r="D3" s="242"/>
      <c r="E3" s="242"/>
      <c r="F3" s="243"/>
      <c r="G3" s="12"/>
      <c r="H3" s="12"/>
    </row>
    <row r="4" spans="2:8" x14ac:dyDescent="0.25">
      <c r="B4" s="241"/>
      <c r="C4" s="242"/>
      <c r="D4" s="242"/>
      <c r="E4" s="242"/>
      <c r="F4" s="243"/>
      <c r="G4" s="13"/>
      <c r="H4" s="13"/>
    </row>
    <row r="5" spans="2:8" x14ac:dyDescent="0.25">
      <c r="B5" s="146"/>
      <c r="C5" s="14"/>
      <c r="D5" s="14"/>
      <c r="E5" s="14"/>
      <c r="F5" s="147"/>
      <c r="G5" s="13"/>
      <c r="H5" s="13"/>
    </row>
    <row r="6" spans="2:8" ht="15.75" x14ac:dyDescent="0.25">
      <c r="B6" s="146"/>
      <c r="C6" s="215" t="s">
        <v>166</v>
      </c>
      <c r="D6" s="231"/>
      <c r="E6" s="232"/>
      <c r="F6" s="147"/>
      <c r="G6" s="13"/>
      <c r="H6" s="13"/>
    </row>
    <row r="7" spans="2:8" x14ac:dyDescent="0.25">
      <c r="B7" s="146"/>
      <c r="C7" s="14"/>
      <c r="D7" s="14"/>
      <c r="E7" s="14"/>
      <c r="F7" s="147"/>
      <c r="G7" s="13"/>
      <c r="H7" s="13"/>
    </row>
    <row r="8" spans="2:8" x14ac:dyDescent="0.25">
      <c r="B8" s="146"/>
      <c r="C8" s="244" t="s">
        <v>167</v>
      </c>
      <c r="D8" s="245"/>
      <c r="E8" s="245"/>
      <c r="F8" s="147"/>
      <c r="G8" s="13"/>
      <c r="H8" s="13"/>
    </row>
    <row r="9" spans="2:8" x14ac:dyDescent="0.25">
      <c r="B9" s="146"/>
      <c r="C9" s="244"/>
      <c r="D9" s="245"/>
      <c r="E9" s="245"/>
      <c r="F9" s="147"/>
      <c r="G9" s="13"/>
      <c r="H9" s="13"/>
    </row>
    <row r="10" spans="2:8" x14ac:dyDescent="0.25">
      <c r="B10" s="146"/>
      <c r="C10" s="14"/>
      <c r="D10" s="14"/>
      <c r="E10" s="14"/>
      <c r="F10" s="147"/>
      <c r="G10" s="13"/>
      <c r="H10" s="13"/>
    </row>
    <row r="11" spans="2:8" x14ac:dyDescent="0.25">
      <c r="B11" s="146"/>
      <c r="C11" s="216" t="s">
        <v>168</v>
      </c>
      <c r="D11" s="233"/>
      <c r="E11" s="234"/>
      <c r="F11" s="147"/>
      <c r="G11" s="13"/>
      <c r="H11" s="13"/>
    </row>
    <row r="12" spans="2:8" x14ac:dyDescent="0.25">
      <c r="B12" s="146"/>
      <c r="C12" s="14"/>
      <c r="D12" s="14"/>
      <c r="E12" s="14"/>
      <c r="F12" s="147"/>
      <c r="G12" s="13"/>
      <c r="H12" s="13"/>
    </row>
    <row r="13" spans="2:8" ht="25.5" customHeight="1" x14ac:dyDescent="0.25">
      <c r="B13" s="146"/>
      <c r="C13" s="124" t="s">
        <v>2</v>
      </c>
      <c r="D13" s="125">
        <f>Formula!C32</f>
        <v>0</v>
      </c>
      <c r="E13" s="126" t="s">
        <v>1</v>
      </c>
      <c r="F13" s="147"/>
      <c r="G13" s="13"/>
      <c r="H13" s="13"/>
    </row>
    <row r="14" spans="2:8" ht="24" customHeight="1" x14ac:dyDescent="0.25">
      <c r="B14" s="146"/>
      <c r="C14" s="16"/>
      <c r="D14" s="17"/>
      <c r="E14" s="18"/>
      <c r="F14" s="147"/>
      <c r="G14" s="13"/>
      <c r="H14" s="13"/>
    </row>
    <row r="15" spans="2:8" x14ac:dyDescent="0.25">
      <c r="B15" s="146"/>
      <c r="C15" s="14"/>
      <c r="D15" s="14"/>
      <c r="E15" s="14"/>
      <c r="F15" s="147"/>
      <c r="G15" s="13"/>
      <c r="H15" s="13"/>
    </row>
    <row r="16" spans="2:8" ht="31.5" x14ac:dyDescent="0.25">
      <c r="B16" s="146"/>
      <c r="C16" s="217" t="s">
        <v>182</v>
      </c>
      <c r="D16" s="235"/>
      <c r="E16" s="235"/>
      <c r="F16" s="147"/>
      <c r="G16" s="13"/>
      <c r="H16" s="13"/>
    </row>
    <row r="17" spans="2:8" x14ac:dyDescent="0.25">
      <c r="B17" s="146"/>
      <c r="C17" s="15"/>
      <c r="D17" s="19"/>
      <c r="E17" s="14"/>
      <c r="F17" s="147"/>
      <c r="G17" s="13"/>
      <c r="H17" s="13"/>
    </row>
    <row r="18" spans="2:8" ht="30" x14ac:dyDescent="0.25">
      <c r="B18" s="146"/>
      <c r="C18" s="218" t="s">
        <v>183</v>
      </c>
      <c r="D18" s="236">
        <v>1</v>
      </c>
      <c r="E18" s="237"/>
      <c r="F18" s="147"/>
      <c r="G18" s="13"/>
      <c r="H18" s="13"/>
    </row>
    <row r="19" spans="2:8" x14ac:dyDescent="0.25">
      <c r="B19" s="146"/>
      <c r="C19" s="219" t="s">
        <v>184</v>
      </c>
      <c r="D19" s="145"/>
      <c r="E19" s="151" t="s">
        <v>1</v>
      </c>
      <c r="F19" s="147"/>
      <c r="G19" s="13"/>
      <c r="H19" s="13"/>
    </row>
    <row r="20" spans="2:8" x14ac:dyDescent="0.25">
      <c r="B20" s="146"/>
      <c r="C20" s="219" t="s">
        <v>169</v>
      </c>
      <c r="D20" s="144"/>
      <c r="E20" s="152" t="s">
        <v>1</v>
      </c>
      <c r="F20" s="147"/>
      <c r="G20" s="13"/>
      <c r="H20" s="13"/>
    </row>
    <row r="21" spans="2:8" x14ac:dyDescent="0.25">
      <c r="B21" s="146"/>
      <c r="C21" s="14"/>
      <c r="D21" s="20"/>
      <c r="E21" s="18"/>
      <c r="F21" s="147"/>
      <c r="G21" s="13"/>
      <c r="H21" s="13"/>
    </row>
    <row r="22" spans="2:8" ht="29.25" customHeight="1" x14ac:dyDescent="0.25">
      <c r="B22" s="146"/>
      <c r="C22" s="220" t="s">
        <v>185</v>
      </c>
      <c r="D22" s="177">
        <f>Formula!C33</f>
        <v>0</v>
      </c>
      <c r="E22" s="126" t="s">
        <v>1</v>
      </c>
      <c r="F22" s="147"/>
      <c r="G22" s="13"/>
      <c r="H22" s="13"/>
    </row>
    <row r="23" spans="2:8" ht="24" customHeight="1" thickBot="1" x14ac:dyDescent="0.3">
      <c r="B23" s="146"/>
      <c r="C23" s="14"/>
      <c r="D23" s="14"/>
      <c r="E23" s="14"/>
      <c r="F23" s="147"/>
      <c r="G23" s="13"/>
      <c r="H23" s="13"/>
    </row>
    <row r="24" spans="2:8" ht="31.5" customHeight="1" thickTop="1" thickBot="1" x14ac:dyDescent="0.3">
      <c r="B24" s="146"/>
      <c r="C24" s="127" t="s">
        <v>4</v>
      </c>
      <c r="D24" s="21" t="str">
        <f>IF($D$6&lt;=2750,"190",Formula!E17)</f>
        <v>190</v>
      </c>
      <c r="E24" s="22" t="s">
        <v>5</v>
      </c>
      <c r="F24" s="147"/>
      <c r="G24" s="13"/>
      <c r="H24" s="13"/>
    </row>
    <row r="25" spans="2:8" ht="26.25" customHeight="1" thickTop="1" x14ac:dyDescent="0.25">
      <c r="B25" s="148"/>
      <c r="C25" s="149"/>
      <c r="D25" s="149"/>
      <c r="E25" s="149"/>
      <c r="F25" s="150"/>
      <c r="G25" s="13"/>
      <c r="H25" s="13"/>
    </row>
    <row r="28" spans="2:8" x14ac:dyDescent="0.25">
      <c r="C28" s="13"/>
      <c r="D28" s="13"/>
      <c r="E28" s="13"/>
      <c r="F28" s="13"/>
    </row>
    <row r="29" spans="2:8" x14ac:dyDescent="0.25">
      <c r="C29" s="13"/>
      <c r="D29" s="13"/>
      <c r="E29" s="13"/>
      <c r="F29" s="13"/>
    </row>
    <row r="30" spans="2:8" x14ac:dyDescent="0.25">
      <c r="C30" s="23"/>
      <c r="D30" s="24"/>
      <c r="E30" s="25"/>
      <c r="F30" s="13"/>
    </row>
    <row r="31" spans="2:8" x14ac:dyDescent="0.25">
      <c r="C31" s="23"/>
      <c r="D31" s="24"/>
      <c r="E31" s="25"/>
      <c r="F31" s="13"/>
    </row>
    <row r="32" spans="2:8" x14ac:dyDescent="0.25">
      <c r="C32" s="26"/>
      <c r="D32" s="27"/>
      <c r="E32" s="25"/>
      <c r="F32" s="13"/>
    </row>
    <row r="33" spans="3:6" x14ac:dyDescent="0.25">
      <c r="C33" s="13"/>
      <c r="D33" s="13"/>
      <c r="E33" s="13"/>
      <c r="F33" s="13"/>
    </row>
    <row r="34" spans="3:6" x14ac:dyDescent="0.25">
      <c r="C34" s="28"/>
      <c r="D34" s="29"/>
      <c r="E34" s="13"/>
      <c r="F34" s="13"/>
    </row>
    <row r="35" spans="3:6" x14ac:dyDescent="0.25">
      <c r="C35" s="30"/>
      <c r="D35" s="29"/>
      <c r="E35" s="13"/>
      <c r="F35" s="13"/>
    </row>
    <row r="36" spans="3:6" x14ac:dyDescent="0.25">
      <c r="C36" s="30"/>
      <c r="D36" s="24"/>
      <c r="E36" s="25"/>
      <c r="F36" s="13"/>
    </row>
    <row r="37" spans="3:6" x14ac:dyDescent="0.25">
      <c r="C37" s="30"/>
      <c r="D37" s="24"/>
      <c r="E37" s="25"/>
      <c r="F37" s="13"/>
    </row>
    <row r="38" spans="3:6" x14ac:dyDescent="0.25">
      <c r="C38" s="28"/>
      <c r="D38" s="27"/>
      <c r="E38" s="25"/>
      <c r="F38" s="13"/>
    </row>
    <row r="39" spans="3:6" x14ac:dyDescent="0.25">
      <c r="C39" s="13"/>
      <c r="D39" s="13"/>
      <c r="E39" s="13"/>
      <c r="F39" s="13"/>
    </row>
    <row r="40" spans="3:6" x14ac:dyDescent="0.25">
      <c r="C40" s="31"/>
      <c r="D40" s="27"/>
      <c r="E40" s="28"/>
      <c r="F40" s="13"/>
    </row>
    <row r="41" spans="3:6" x14ac:dyDescent="0.25">
      <c r="C41" s="13"/>
      <c r="D41" s="13"/>
      <c r="E41" s="13"/>
      <c r="F41" s="13"/>
    </row>
    <row r="42" spans="3:6" x14ac:dyDescent="0.25">
      <c r="C42" s="13"/>
      <c r="D42" s="13"/>
      <c r="E42" s="13"/>
      <c r="F42" s="13"/>
    </row>
    <row r="43" spans="3:6" x14ac:dyDescent="0.25">
      <c r="C43" s="13"/>
      <c r="D43" s="13"/>
      <c r="E43" s="13"/>
      <c r="F43" s="13"/>
    </row>
  </sheetData>
  <sheetProtection selectLockedCells="1"/>
  <mergeCells count="7">
    <mergeCell ref="D6:E6"/>
    <mergeCell ref="D11:E11"/>
    <mergeCell ref="D16:E16"/>
    <mergeCell ref="D18:E18"/>
    <mergeCell ref="B2:F4"/>
    <mergeCell ref="C8:C9"/>
    <mergeCell ref="D8:E9"/>
  </mergeCells>
  <conditionalFormatting sqref="C18:E22">
    <cfRule type="expression" dxfId="5" priority="3">
      <formula>$D$16="No"</formula>
    </cfRule>
  </conditionalFormatting>
  <conditionalFormatting sqref="C11:E11">
    <cfRule type="expression" dxfId="4" priority="2">
      <formula>$D$8="No"</formula>
    </cfRule>
  </conditionalFormatting>
  <conditionalFormatting sqref="D18:E18 D19:D20">
    <cfRule type="expression" dxfId="3" priority="1">
      <formula>$D$16="Yes"</formula>
    </cfRule>
  </conditionalFormatting>
  <dataValidations count="5">
    <dataValidation type="whole" operator="greaterThanOrEqual" showInputMessage="1" showErrorMessage="1" error="Incorrect value" promptTitle="Resident Population" prompt="Enter the ten-year population forecast for the local catchment of the proposed Library." sqref="D6:E6" xr:uid="{C1471E11-01F6-455F-A1A3-8800DA05CDF6}">
      <formula1>0</formula1>
    </dataValidation>
    <dataValidation type="whole" operator="greaterThanOrEqual" allowBlank="1" showInputMessage="1" showErrorMessage="1" promptTitle="Non-resident workforce" prompt="Enter the number of people you forecast to be in the non-resident workforce in that catchment in ten years time." sqref="D11:E11" xr:uid="{70256960-FECB-420D-A396-9CE6821BBD4C}">
      <formula1>0</formula1>
    </dataValidation>
    <dataValidation type="whole" operator="greaterThanOrEqual" allowBlank="1" showInputMessage="1" showErrorMessage="1" promptTitle="Central Library Population" prompt="Enter the ten-year projection for the population of the whole local government or regional area." sqref="D19" xr:uid="{0146C8B3-839F-4054-A7F2-14183FF5C08B}">
      <formula1>0</formula1>
    </dataValidation>
    <dataValidation type="whole" operator="greaterThanOrEqual" allowBlank="1" showInputMessage="1" showErrorMessage="1" promptTitle="Non-resident workforce" prompt="Enter the population forecast for the non-resident workforce in the local government or regional area in ten years time." sqref="D20" xr:uid="{59EF5C3B-37C0-4C16-A3FD-29EFAD7F136B}">
      <formula1>0</formula1>
    </dataValidation>
    <dataValidation allowBlank="1" showInputMessage="1" showErrorMessage="1" promptTitle="Central Function" prompt="If central library functions are shared between libraries, enter the number of libraries equally sharing these functions. Otherwise leave as 1." sqref="D18:E18" xr:uid="{0B16534B-3766-4CB5-BDC1-69DD82908E42}"/>
  </dataValidations>
  <pageMargins left="0.7" right="0.7" top="0.75" bottom="0.75" header="0.3" footer="0.3"/>
  <pageSetup paperSize="256" orientation="portrait" horizontalDpi="203" verticalDpi="203" r:id="rId1"/>
  <ignoredErrors>
    <ignoredError sqref="D22 D24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prompt="Please select yes or no from the drop-down arrow." xr:uid="{E9D681B1-8E13-4696-A893-28BBDF71D529}">
          <x14:formula1>
            <xm:f>Sheet3!$C$3:$C$4</xm:f>
          </x14:formula1>
          <xm:sqref>D8:E9</xm:sqref>
        </x14:dataValidation>
        <x14:dataValidation type="list" showInputMessage="1" showErrorMessage="1" prompt="Please select yes or no from the drop-down arrow." xr:uid="{C7C3F743-CAC5-4A1A-A40B-9CD6F6DC9BC4}">
          <x14:formula1>
            <xm:f>Sheet3!C3:C4</xm:f>
          </x14:formula1>
          <xm:sqref>D16:E16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BCB92-B084-4C5B-9FEC-2663B89B427C}">
  <dimension ref="B2:O106"/>
  <sheetViews>
    <sheetView showGridLines="0" topLeftCell="B1" zoomScale="90" zoomScaleNormal="90" workbookViewId="0">
      <selection activeCell="E75" sqref="E75:F75"/>
    </sheetView>
  </sheetViews>
  <sheetFormatPr defaultRowHeight="15" x14ac:dyDescent="0.25"/>
  <cols>
    <col min="1" max="1" width="5.5703125" customWidth="1"/>
    <col min="2" max="2" width="4.28515625" customWidth="1"/>
    <col min="3" max="3" width="15.7109375" customWidth="1"/>
    <col min="4" max="4" width="15" customWidth="1"/>
    <col min="5" max="5" width="10.85546875" customWidth="1"/>
    <col min="6" max="6" width="11" customWidth="1"/>
    <col min="7" max="7" width="13.7109375" customWidth="1"/>
    <col min="8" max="8" width="14.85546875" customWidth="1"/>
    <col min="9" max="9" width="18.28515625" customWidth="1"/>
    <col min="10" max="10" width="10.140625" customWidth="1"/>
    <col min="11" max="11" width="8.5703125" customWidth="1"/>
    <col min="12" max="12" width="3" customWidth="1"/>
  </cols>
  <sheetData>
    <row r="2" spans="2:15" ht="15" customHeight="1" x14ac:dyDescent="0.25">
      <c r="B2" s="259" t="s">
        <v>46</v>
      </c>
      <c r="C2" s="260"/>
      <c r="D2" s="260"/>
      <c r="E2" s="260"/>
      <c r="F2" s="260"/>
      <c r="G2" s="260"/>
      <c r="H2" s="260"/>
      <c r="I2" s="260"/>
      <c r="J2" s="260"/>
      <c r="K2" s="260"/>
      <c r="L2" s="261"/>
    </row>
    <row r="3" spans="2:15" ht="15" customHeight="1" x14ac:dyDescent="0.25">
      <c r="B3" s="262"/>
      <c r="C3" s="263"/>
      <c r="D3" s="263"/>
      <c r="E3" s="263"/>
      <c r="F3" s="263"/>
      <c r="G3" s="263"/>
      <c r="H3" s="263"/>
      <c r="I3" s="263"/>
      <c r="J3" s="263"/>
      <c r="K3" s="263"/>
      <c r="L3" s="264"/>
    </row>
    <row r="4" spans="2:15" ht="15" customHeight="1" x14ac:dyDescent="0.25">
      <c r="B4" s="167"/>
      <c r="C4" s="134"/>
      <c r="D4" s="134"/>
      <c r="E4" s="134"/>
      <c r="F4" s="134"/>
      <c r="G4" s="134"/>
      <c r="H4" s="134"/>
      <c r="I4" s="134"/>
      <c r="J4" s="134"/>
      <c r="K4" s="134"/>
      <c r="L4" s="168"/>
    </row>
    <row r="5" spans="2:15" ht="15" customHeight="1" x14ac:dyDescent="0.25">
      <c r="B5" s="153"/>
      <c r="C5" s="174" t="s">
        <v>177</v>
      </c>
      <c r="D5" s="1"/>
      <c r="E5" s="1"/>
      <c r="F5" s="1"/>
      <c r="G5" s="1"/>
      <c r="H5" s="1"/>
      <c r="I5" s="1"/>
      <c r="J5" s="1"/>
      <c r="K5" s="1"/>
      <c r="L5" s="154"/>
    </row>
    <row r="6" spans="2:15" ht="15" customHeight="1" x14ac:dyDescent="0.25">
      <c r="B6" s="153"/>
      <c r="C6" s="166"/>
      <c r="D6" s="1"/>
      <c r="E6" s="1"/>
      <c r="F6" s="1"/>
      <c r="G6" s="1"/>
      <c r="H6" s="1"/>
      <c r="I6" s="1"/>
      <c r="J6" s="1"/>
      <c r="K6" s="1"/>
      <c r="L6" s="154"/>
    </row>
    <row r="7" spans="2:15" ht="15.75" x14ac:dyDescent="0.25">
      <c r="B7" s="153"/>
      <c r="C7" s="172" t="s">
        <v>47</v>
      </c>
      <c r="D7" s="2"/>
      <c r="E7" s="169"/>
      <c r="F7" s="138"/>
      <c r="G7" s="270" t="s">
        <v>179</v>
      </c>
      <c r="H7" s="270"/>
      <c r="I7" s="270"/>
      <c r="J7" s="270"/>
      <c r="K7" s="270"/>
      <c r="L7" s="154"/>
    </row>
    <row r="8" spans="2:15" ht="15.75" x14ac:dyDescent="0.25">
      <c r="B8" s="153"/>
      <c r="C8" s="173"/>
      <c r="D8" s="139"/>
      <c r="E8" s="39"/>
      <c r="F8" s="1"/>
      <c r="G8" s="270"/>
      <c r="H8" s="270"/>
      <c r="I8" s="270"/>
      <c r="J8" s="270"/>
      <c r="K8" s="270"/>
      <c r="L8" s="154"/>
    </row>
    <row r="9" spans="2:15" ht="15.75" x14ac:dyDescent="0.25">
      <c r="B9" s="153"/>
      <c r="C9" s="172" t="s">
        <v>48</v>
      </c>
      <c r="D9" s="2"/>
      <c r="E9" s="169"/>
      <c r="F9" s="138"/>
      <c r="G9" s="1"/>
      <c r="H9" s="2"/>
      <c r="I9" s="2"/>
      <c r="J9" s="143"/>
      <c r="K9" s="1"/>
      <c r="L9" s="154"/>
    </row>
    <row r="10" spans="2:15" ht="15.75" x14ac:dyDescent="0.25">
      <c r="B10" s="153"/>
      <c r="C10" s="172" t="s">
        <v>49</v>
      </c>
      <c r="D10" s="2"/>
      <c r="E10" s="170"/>
      <c r="F10" s="3"/>
      <c r="G10" s="1"/>
      <c r="H10" s="2"/>
      <c r="I10" s="2"/>
      <c r="J10" s="1"/>
      <c r="K10" s="1"/>
      <c r="L10" s="154"/>
    </row>
    <row r="11" spans="2:15" ht="15.75" x14ac:dyDescent="0.25">
      <c r="B11" s="153"/>
      <c r="C11" s="172" t="s">
        <v>50</v>
      </c>
      <c r="D11" s="2"/>
      <c r="E11" s="171"/>
      <c r="F11" s="3"/>
      <c r="G11" s="1"/>
      <c r="H11" s="2"/>
      <c r="I11" s="2"/>
      <c r="J11" s="1"/>
      <c r="K11" s="1"/>
      <c r="L11" s="154"/>
    </row>
    <row r="12" spans="2:15" ht="15.75" x14ac:dyDescent="0.25">
      <c r="B12" s="153"/>
      <c r="C12" s="172" t="s">
        <v>51</v>
      </c>
      <c r="D12" s="2"/>
      <c r="E12" s="171"/>
      <c r="F12" s="3"/>
      <c r="G12" s="1"/>
      <c r="H12" s="1"/>
      <c r="I12" s="1"/>
      <c r="J12" s="1"/>
      <c r="K12" s="1"/>
      <c r="L12" s="154"/>
    </row>
    <row r="13" spans="2:15" ht="15.75" x14ac:dyDescent="0.25">
      <c r="B13" s="153"/>
      <c r="C13" s="172" t="s">
        <v>52</v>
      </c>
      <c r="D13" s="2"/>
      <c r="E13" s="171"/>
      <c r="F13" s="3"/>
      <c r="G13" s="1"/>
      <c r="H13" s="1"/>
      <c r="I13" s="1"/>
      <c r="J13" s="1"/>
      <c r="K13" s="1"/>
      <c r="L13" s="154"/>
    </row>
    <row r="14" spans="2:15" x14ac:dyDescent="0.25">
      <c r="B14" s="155"/>
      <c r="C14" s="156"/>
      <c r="D14" s="156"/>
      <c r="E14" s="156"/>
      <c r="F14" s="156"/>
      <c r="G14" s="156"/>
      <c r="H14" s="156"/>
      <c r="I14" s="156"/>
      <c r="J14" s="156"/>
      <c r="K14" s="156"/>
      <c r="L14" s="157"/>
    </row>
    <row r="15" spans="2:15" x14ac:dyDescent="0.25">
      <c r="B15" s="158"/>
      <c r="C15" s="159"/>
      <c r="D15" s="159"/>
      <c r="E15" s="160"/>
      <c r="F15" s="160"/>
      <c r="G15" s="160"/>
      <c r="H15" s="160"/>
      <c r="I15" s="160"/>
      <c r="J15" s="160"/>
      <c r="K15" s="160"/>
      <c r="L15" s="161"/>
    </row>
    <row r="16" spans="2:15" ht="30" x14ac:dyDescent="0.25">
      <c r="B16" s="162"/>
      <c r="C16" s="271" t="s">
        <v>54</v>
      </c>
      <c r="D16" s="271"/>
      <c r="E16" s="135" t="s">
        <v>20</v>
      </c>
      <c r="F16" s="135" t="s">
        <v>55</v>
      </c>
      <c r="G16" s="135" t="s">
        <v>21</v>
      </c>
      <c r="H16" s="135" t="s">
        <v>22</v>
      </c>
      <c r="I16" s="135" t="s">
        <v>23</v>
      </c>
      <c r="J16" s="135" t="s">
        <v>24</v>
      </c>
      <c r="K16" s="135"/>
      <c r="L16" s="163"/>
      <c r="O16" t="s">
        <v>178</v>
      </c>
    </row>
    <row r="17" spans="2:12" x14ac:dyDescent="0.25">
      <c r="B17" s="162"/>
      <c r="C17" s="111" t="s">
        <v>25</v>
      </c>
      <c r="D17" s="46"/>
      <c r="E17" s="5">
        <f>SUM(E18:E21)</f>
        <v>0</v>
      </c>
      <c r="F17" s="38">
        <f>E9</f>
        <v>0</v>
      </c>
      <c r="G17" s="6"/>
      <c r="H17" s="46"/>
      <c r="I17" s="46"/>
      <c r="J17" s="46"/>
      <c r="K17" s="46"/>
      <c r="L17" s="163"/>
    </row>
    <row r="18" spans="2:12" x14ac:dyDescent="0.25">
      <c r="B18" s="162"/>
      <c r="C18" s="106" t="s">
        <v>26</v>
      </c>
      <c r="D18" s="106"/>
      <c r="E18" s="5">
        <f>E10</f>
        <v>0</v>
      </c>
      <c r="F18" s="38">
        <f>E18*$F$17</f>
        <v>0</v>
      </c>
      <c r="G18" s="40">
        <v>0.3</v>
      </c>
      <c r="H18" s="41">
        <f>ROUND(F18*(100%-G18),0)</f>
        <v>0</v>
      </c>
      <c r="I18" s="41">
        <f>Formula!$H$5</f>
        <v>70</v>
      </c>
      <c r="J18" s="208">
        <f>H18/I18</f>
        <v>0</v>
      </c>
      <c r="K18" s="41"/>
      <c r="L18" s="163"/>
    </row>
    <row r="19" spans="2:12" x14ac:dyDescent="0.25">
      <c r="B19" s="162"/>
      <c r="C19" s="106" t="s">
        <v>27</v>
      </c>
      <c r="D19" s="106"/>
      <c r="E19" s="5">
        <f>E11</f>
        <v>0</v>
      </c>
      <c r="F19" s="38">
        <f t="shared" ref="F19:F21" si="0">E19*$F$17</f>
        <v>0</v>
      </c>
      <c r="G19" s="40">
        <v>0.3</v>
      </c>
      <c r="H19" s="41">
        <f>ROUND(F19*(100%-G19),0)</f>
        <v>0</v>
      </c>
      <c r="I19" s="41">
        <f>Formula!$H$6</f>
        <v>10</v>
      </c>
      <c r="J19" s="208">
        <f t="shared" ref="J19:J20" si="1">H19/I19</f>
        <v>0</v>
      </c>
      <c r="K19" s="41"/>
      <c r="L19" s="163"/>
    </row>
    <row r="20" spans="2:12" x14ac:dyDescent="0.25">
      <c r="B20" s="162"/>
      <c r="C20" s="106" t="s">
        <v>28</v>
      </c>
      <c r="D20" s="106"/>
      <c r="E20" s="5">
        <f>E12</f>
        <v>0</v>
      </c>
      <c r="F20" s="38">
        <f t="shared" si="0"/>
        <v>0</v>
      </c>
      <c r="G20" s="40">
        <v>0.3</v>
      </c>
      <c r="H20" s="41">
        <f t="shared" ref="H20:H21" si="2">ROUND(F20*(100%-G20),0)</f>
        <v>0</v>
      </c>
      <c r="I20" s="41">
        <f>Formula!$H$7</f>
        <v>100</v>
      </c>
      <c r="J20" s="208">
        <f t="shared" si="1"/>
        <v>0</v>
      </c>
      <c r="K20" s="41"/>
      <c r="L20" s="163"/>
    </row>
    <row r="21" spans="2:12" ht="15.75" thickBot="1" x14ac:dyDescent="0.3">
      <c r="B21" s="162"/>
      <c r="C21" s="106" t="s">
        <v>29</v>
      </c>
      <c r="D21" s="106"/>
      <c r="E21" s="5">
        <f>E13</f>
        <v>0</v>
      </c>
      <c r="F21" s="38">
        <f t="shared" si="0"/>
        <v>0</v>
      </c>
      <c r="G21" s="40">
        <v>0.3</v>
      </c>
      <c r="H21" s="41">
        <f t="shared" si="2"/>
        <v>0</v>
      </c>
      <c r="I21" s="41">
        <f>Formula!$H$8</f>
        <v>0</v>
      </c>
      <c r="J21" s="207" t="str">
        <f>IFERROR(H21/I21,"0")</f>
        <v>0</v>
      </c>
      <c r="K21" s="42"/>
      <c r="L21" s="163"/>
    </row>
    <row r="22" spans="2:12" ht="20.25" customHeight="1" thickTop="1" thickBot="1" x14ac:dyDescent="0.3">
      <c r="B22" s="162"/>
      <c r="C22" s="121" t="s">
        <v>30</v>
      </c>
      <c r="D22" s="121"/>
      <c r="E22" s="121"/>
      <c r="F22" s="121"/>
      <c r="G22" s="121"/>
      <c r="H22" s="121"/>
      <c r="I22" s="121"/>
      <c r="J22" s="122">
        <f>SUM(J18:J21)</f>
        <v>0</v>
      </c>
      <c r="K22" s="121" t="s">
        <v>5</v>
      </c>
      <c r="L22" s="164"/>
    </row>
    <row r="23" spans="2:12" ht="15.75" thickTop="1" x14ac:dyDescent="0.25">
      <c r="B23" s="162"/>
      <c r="C23" s="46"/>
      <c r="D23" s="46"/>
      <c r="E23" s="46"/>
      <c r="F23" s="46"/>
      <c r="G23" s="46"/>
      <c r="H23" s="46"/>
      <c r="I23" s="46"/>
      <c r="J23" s="46"/>
      <c r="K23" s="46"/>
      <c r="L23" s="163"/>
    </row>
    <row r="24" spans="2:12" ht="21" x14ac:dyDescent="0.25">
      <c r="B24" s="162"/>
      <c r="C24" s="272"/>
      <c r="D24" s="272"/>
      <c r="E24" s="135"/>
      <c r="F24" s="135"/>
      <c r="G24" s="135"/>
      <c r="H24" s="135" t="s">
        <v>55</v>
      </c>
      <c r="I24" s="135" t="s">
        <v>150</v>
      </c>
      <c r="J24" s="135" t="s">
        <v>192</v>
      </c>
      <c r="K24" s="135"/>
      <c r="L24" s="163"/>
    </row>
    <row r="25" spans="2:12" ht="30" customHeight="1" x14ac:dyDescent="0.25">
      <c r="B25" s="162"/>
      <c r="C25" s="273" t="s">
        <v>31</v>
      </c>
      <c r="D25" s="273"/>
      <c r="E25" s="5"/>
      <c r="F25" s="46"/>
      <c r="G25" s="6"/>
      <c r="H25" s="46"/>
      <c r="I25" s="46"/>
      <c r="J25" s="46"/>
      <c r="K25" s="46"/>
      <c r="L25" s="163"/>
    </row>
    <row r="26" spans="2:12" x14ac:dyDescent="0.25">
      <c r="B26" s="162"/>
      <c r="C26" s="266" t="s">
        <v>32</v>
      </c>
      <c r="D26" s="266"/>
      <c r="E26" s="9"/>
      <c r="F26" s="9"/>
      <c r="G26" s="7"/>
      <c r="H26" s="117">
        <f>E7</f>
        <v>0</v>
      </c>
      <c r="I26" s="32"/>
      <c r="J26" s="32"/>
      <c r="K26" s="8"/>
      <c r="L26" s="163"/>
    </row>
    <row r="27" spans="2:12" x14ac:dyDescent="0.25">
      <c r="B27" s="162"/>
      <c r="C27" s="266" t="s">
        <v>33</v>
      </c>
      <c r="D27" s="266"/>
      <c r="E27" s="9"/>
      <c r="F27" s="9"/>
      <c r="G27" s="7"/>
      <c r="H27" s="9">
        <f>ROUND(IF($H$26&lt;=20000,Formula!H12,IF($H$26&gt;20000,($H$26*Formula!H13/Formula!H14),0)),0)</f>
        <v>5</v>
      </c>
      <c r="I27" s="41">
        <f>Formula!H15</f>
        <v>5</v>
      </c>
      <c r="J27" s="204">
        <f>H27*I27</f>
        <v>25</v>
      </c>
      <c r="K27" s="8"/>
      <c r="L27" s="163"/>
    </row>
    <row r="28" spans="2:12" x14ac:dyDescent="0.25">
      <c r="B28" s="162"/>
      <c r="C28" s="266" t="s">
        <v>34</v>
      </c>
      <c r="D28" s="266"/>
      <c r="E28" s="9"/>
      <c r="F28" s="9"/>
      <c r="G28" s="7"/>
      <c r="H28" s="141"/>
      <c r="I28" s="41">
        <f>Formula!H16</f>
        <v>5</v>
      </c>
      <c r="J28" s="204">
        <f t="shared" ref="J28:J31" si="3">H28*I28</f>
        <v>0</v>
      </c>
      <c r="K28" s="8"/>
      <c r="L28" s="163"/>
    </row>
    <row r="29" spans="2:12" x14ac:dyDescent="0.25">
      <c r="B29" s="162"/>
      <c r="C29" s="266" t="s">
        <v>35</v>
      </c>
      <c r="D29" s="266"/>
      <c r="E29" s="9"/>
      <c r="F29" s="9"/>
      <c r="G29" s="7"/>
      <c r="H29" s="141"/>
      <c r="I29" s="41">
        <f>Formula!H16</f>
        <v>5</v>
      </c>
      <c r="J29" s="204">
        <f t="shared" si="3"/>
        <v>0</v>
      </c>
      <c r="K29" s="8"/>
      <c r="L29" s="163"/>
    </row>
    <row r="30" spans="2:12" x14ac:dyDescent="0.25">
      <c r="B30" s="162"/>
      <c r="C30" s="266" t="s">
        <v>36</v>
      </c>
      <c r="D30" s="266"/>
      <c r="E30" s="9"/>
      <c r="F30" s="46"/>
      <c r="G30" s="7"/>
      <c r="H30" s="1"/>
      <c r="I30" s="41">
        <f>Formula!H17</f>
        <v>3</v>
      </c>
      <c r="J30" s="204">
        <f t="shared" si="3"/>
        <v>0</v>
      </c>
      <c r="K30" s="8"/>
      <c r="L30" s="163"/>
    </row>
    <row r="31" spans="2:12" ht="15.75" thickBot="1" x14ac:dyDescent="0.3">
      <c r="B31" s="162"/>
      <c r="C31" s="221" t="s">
        <v>186</v>
      </c>
      <c r="D31" s="221"/>
      <c r="E31" s="9"/>
      <c r="F31" s="46"/>
      <c r="G31" s="7"/>
      <c r="H31" s="1"/>
      <c r="I31" s="41">
        <f>Formula!H18</f>
        <v>3</v>
      </c>
      <c r="J31" s="204">
        <f t="shared" si="3"/>
        <v>0</v>
      </c>
      <c r="K31" s="8"/>
      <c r="L31" s="163"/>
    </row>
    <row r="32" spans="2:12" ht="16.5" thickTop="1" thickBot="1" x14ac:dyDescent="0.3">
      <c r="B32" s="162"/>
      <c r="C32" s="268" t="s">
        <v>37</v>
      </c>
      <c r="D32" s="268"/>
      <c r="E32" s="268"/>
      <c r="F32" s="268"/>
      <c r="G32" s="121"/>
      <c r="H32" s="121"/>
      <c r="I32" s="121"/>
      <c r="J32" s="122">
        <f>SUM(J27:J31)</f>
        <v>25</v>
      </c>
      <c r="K32" s="121" t="s">
        <v>5</v>
      </c>
      <c r="L32" s="163"/>
    </row>
    <row r="33" spans="2:12" ht="15.75" thickTop="1" x14ac:dyDescent="0.25">
      <c r="B33" s="162"/>
      <c r="C33" s="46"/>
      <c r="D33" s="46"/>
      <c r="E33" s="46"/>
      <c r="F33" s="46"/>
      <c r="G33" s="46"/>
      <c r="H33" s="46"/>
      <c r="I33" s="46"/>
      <c r="J33" s="46"/>
      <c r="K33" s="46"/>
      <c r="L33" s="163"/>
    </row>
    <row r="34" spans="2:12" ht="21" x14ac:dyDescent="0.35">
      <c r="B34" s="162"/>
      <c r="C34" s="269" t="s">
        <v>165</v>
      </c>
      <c r="D34" s="269"/>
      <c r="E34" s="43">
        <f>SUM(J22+J32)</f>
        <v>25</v>
      </c>
      <c r="F34" s="44" t="s">
        <v>5</v>
      </c>
      <c r="G34" s="46"/>
      <c r="H34" s="46"/>
      <c r="I34" s="46"/>
      <c r="J34" s="46"/>
      <c r="K34" s="46"/>
      <c r="L34" s="163"/>
    </row>
    <row r="35" spans="2:12" x14ac:dyDescent="0.25">
      <c r="B35" s="162"/>
      <c r="C35" s="46"/>
      <c r="D35" s="46"/>
      <c r="E35" s="46"/>
      <c r="F35" s="46"/>
      <c r="G35" s="46"/>
      <c r="H35" s="46"/>
      <c r="I35" s="46"/>
      <c r="J35" s="46"/>
      <c r="K35" s="47"/>
      <c r="L35" s="163"/>
    </row>
    <row r="36" spans="2:12" ht="21" customHeight="1" x14ac:dyDescent="0.25">
      <c r="B36" s="162"/>
      <c r="C36" s="254" t="s">
        <v>38</v>
      </c>
      <c r="D36" s="254"/>
      <c r="E36" s="254"/>
      <c r="F36" s="35"/>
      <c r="G36" s="246" t="s">
        <v>193</v>
      </c>
      <c r="H36" s="246"/>
      <c r="I36" s="135"/>
      <c r="J36" s="247" t="s">
        <v>194</v>
      </c>
      <c r="K36" s="247"/>
      <c r="L36" s="163"/>
    </row>
    <row r="37" spans="2:12" x14ac:dyDescent="0.25">
      <c r="B37" s="162"/>
      <c r="C37" s="266" t="s">
        <v>39</v>
      </c>
      <c r="D37" s="266"/>
      <c r="E37" s="47"/>
      <c r="F37" s="47"/>
      <c r="G37" s="253">
        <f>IF(H26&gt;200000,(597+((H26-200000)*(Formula!H29/1000))),IF('Service Calculator'!H26&gt;100000,(397+(('Service Calculator'!H26-100000)*(Formula!H28/1000))),IF('Service Calculator'!H26&gt;50000,(247+(('Service Calculator'!H26-50000)*(Formula!H27/1000))),IF('Service Calculator'!H26&gt;25000,(147+(('Service Calculator'!H26-25000)*(Formula!H26/1000))),IF('Service Calculator'!H26&gt;10000,(72+(('Service Calculator'!H26-10000)*(Formula!H25/1000))),IF('Service Calculator'!H26&gt;2500,(20+(('Service Calculator'!H26-2500)*(Formula!H24/1000))),Formula!H23))))))</f>
        <v>20</v>
      </c>
      <c r="H37" s="253"/>
      <c r="I37" s="47"/>
      <c r="J37" s="213">
        <f>G37</f>
        <v>20</v>
      </c>
      <c r="K37" s="212"/>
      <c r="L37" s="163"/>
    </row>
    <row r="38" spans="2:12" ht="18.75" x14ac:dyDescent="0.25">
      <c r="B38" s="162"/>
      <c r="C38" s="102"/>
      <c r="D38" s="102"/>
      <c r="E38" s="47"/>
      <c r="F38" s="47"/>
      <c r="G38" s="47"/>
      <c r="H38" s="47"/>
      <c r="I38" s="47"/>
      <c r="J38" s="47"/>
      <c r="K38" s="46"/>
      <c r="L38" s="163"/>
    </row>
    <row r="39" spans="2:12" ht="18.75" customHeight="1" x14ac:dyDescent="0.25">
      <c r="B39" s="162"/>
      <c r="C39" s="104"/>
      <c r="D39" s="104"/>
      <c r="E39" s="248" t="s">
        <v>173</v>
      </c>
      <c r="F39" s="136"/>
      <c r="G39" s="246" t="s">
        <v>195</v>
      </c>
      <c r="H39" s="246"/>
      <c r="I39" s="136"/>
      <c r="J39" s="248" t="s">
        <v>191</v>
      </c>
      <c r="K39" s="248"/>
      <c r="L39" s="163"/>
    </row>
    <row r="40" spans="2:12" ht="18.75" x14ac:dyDescent="0.25">
      <c r="B40" s="162"/>
      <c r="C40" s="105"/>
      <c r="D40" s="105"/>
      <c r="E40" s="249"/>
      <c r="F40" s="137"/>
      <c r="G40" s="137" t="s">
        <v>150</v>
      </c>
      <c r="H40" s="137" t="s">
        <v>24</v>
      </c>
      <c r="I40" s="137"/>
      <c r="J40" s="249"/>
      <c r="K40" s="249"/>
      <c r="L40" s="163"/>
    </row>
    <row r="41" spans="2:12" x14ac:dyDescent="0.25">
      <c r="B41" s="162"/>
      <c r="C41" s="46" t="s">
        <v>158</v>
      </c>
      <c r="D41" s="106"/>
      <c r="E41" s="202"/>
      <c r="F41" s="118"/>
      <c r="G41" s="116">
        <f>Formula!H30</f>
        <v>5</v>
      </c>
      <c r="H41" s="211">
        <f>$J$37*E41*G41</f>
        <v>0</v>
      </c>
      <c r="I41" s="206" t="s">
        <v>5</v>
      </c>
      <c r="J41" s="209">
        <f>H41</f>
        <v>0</v>
      </c>
      <c r="K41" s="41" t="s">
        <v>5</v>
      </c>
      <c r="L41" s="163"/>
    </row>
    <row r="42" spans="2:12" x14ac:dyDescent="0.25">
      <c r="B42" s="162"/>
      <c r="C42" s="46" t="s">
        <v>159</v>
      </c>
      <c r="D42" s="106"/>
      <c r="E42" s="203"/>
      <c r="F42" s="41"/>
      <c r="G42" s="116">
        <f>Formula!H31</f>
        <v>3</v>
      </c>
      <c r="H42" s="211">
        <f t="shared" ref="H42:H43" si="4">$J$37*E42*G42</f>
        <v>0</v>
      </c>
      <c r="I42" s="206" t="s">
        <v>5</v>
      </c>
      <c r="J42" s="209">
        <f t="shared" ref="J42:J43" si="5">H42</f>
        <v>0</v>
      </c>
      <c r="K42" s="41" t="s">
        <v>5</v>
      </c>
      <c r="L42" s="163"/>
    </row>
    <row r="43" spans="2:12" x14ac:dyDescent="0.25">
      <c r="B43" s="162"/>
      <c r="C43" s="120" t="s">
        <v>160</v>
      </c>
      <c r="D43" s="106"/>
      <c r="E43" s="203"/>
      <c r="F43" s="41"/>
      <c r="G43" s="116">
        <f>Formula!H32</f>
        <v>1.8</v>
      </c>
      <c r="H43" s="211">
        <f t="shared" si="4"/>
        <v>0</v>
      </c>
      <c r="I43" s="206" t="s">
        <v>5</v>
      </c>
      <c r="J43" s="209">
        <f t="shared" si="5"/>
        <v>0</v>
      </c>
      <c r="K43" s="41" t="s">
        <v>5</v>
      </c>
      <c r="L43" s="163"/>
    </row>
    <row r="44" spans="2:12" x14ac:dyDescent="0.25">
      <c r="B44" s="162"/>
      <c r="C44" s="106"/>
      <c r="D44" s="106"/>
      <c r="E44" s="184">
        <f>SUM(E41:E43)</f>
        <v>0</v>
      </c>
      <c r="F44" s="46"/>
      <c r="G44" s="7"/>
      <c r="H44" s="205"/>
      <c r="I44" s="206"/>
      <c r="J44" s="210">
        <f>SUM(J41:J43)</f>
        <v>0</v>
      </c>
      <c r="K44" s="41" t="s">
        <v>5</v>
      </c>
      <c r="L44" s="163"/>
    </row>
    <row r="45" spans="2:12" x14ac:dyDescent="0.25">
      <c r="B45" s="162"/>
      <c r="C45" s="106"/>
      <c r="D45" s="106"/>
      <c r="E45" s="5"/>
      <c r="F45" s="46"/>
      <c r="G45" s="7"/>
      <c r="H45" s="10"/>
      <c r="I45" s="41"/>
      <c r="J45" s="41"/>
      <c r="K45" s="32"/>
      <c r="L45" s="163"/>
    </row>
    <row r="46" spans="2:12" x14ac:dyDescent="0.25">
      <c r="B46" s="58"/>
      <c r="C46" s="46"/>
      <c r="D46" s="46"/>
      <c r="E46" s="46"/>
      <c r="F46" s="46"/>
      <c r="G46" s="46"/>
      <c r="H46" s="46"/>
      <c r="I46" s="46"/>
      <c r="J46" s="46"/>
      <c r="K46" s="46"/>
      <c r="L46" s="59"/>
    </row>
    <row r="47" spans="2:12" ht="21" x14ac:dyDescent="0.25">
      <c r="B47" s="58"/>
      <c r="C47" s="267" t="s">
        <v>153</v>
      </c>
      <c r="D47" s="267"/>
      <c r="E47" s="267"/>
      <c r="F47" s="267"/>
      <c r="G47" s="100">
        <f>SUM(J41:J43)</f>
        <v>0</v>
      </c>
      <c r="H47" s="45" t="s">
        <v>5</v>
      </c>
      <c r="I47" s="36"/>
      <c r="J47" s="46"/>
      <c r="K47" s="46"/>
      <c r="L47" s="59"/>
    </row>
    <row r="48" spans="2:12" x14ac:dyDescent="0.25">
      <c r="B48" s="162"/>
      <c r="C48" s="46"/>
      <c r="D48" s="46"/>
      <c r="E48" s="46"/>
      <c r="F48" s="46"/>
      <c r="G48" s="46"/>
      <c r="H48" s="46"/>
      <c r="I48" s="46"/>
      <c r="J48" s="46"/>
      <c r="K48" s="46"/>
      <c r="L48" s="163"/>
    </row>
    <row r="49" spans="2:12" ht="41.25" customHeight="1" x14ac:dyDescent="0.25">
      <c r="B49" s="162"/>
      <c r="C49" s="254" t="s">
        <v>114</v>
      </c>
      <c r="D49" s="254"/>
      <c r="E49" s="35"/>
      <c r="F49" s="35"/>
      <c r="G49" s="246" t="s">
        <v>190</v>
      </c>
      <c r="H49" s="246"/>
      <c r="I49" s="135"/>
      <c r="J49" s="247" t="s">
        <v>191</v>
      </c>
      <c r="K49" s="247"/>
      <c r="L49" s="163"/>
    </row>
    <row r="50" spans="2:12" x14ac:dyDescent="0.25">
      <c r="B50" s="162"/>
      <c r="C50" s="106" t="s">
        <v>43</v>
      </c>
      <c r="D50" s="106"/>
      <c r="E50" s="252"/>
      <c r="F50" s="252"/>
      <c r="G50" s="165">
        <f>IF(Formula!I35*'Service Calculator'!$E$34&lt;=Formula!H35,Formula!H35,IF(Formula!I35*'Service Calculator'!$E$34&gt;=Formula!J35,Formula!J35,Formula!I35*'Service Calculator'!$E$34))</f>
        <v>1.25</v>
      </c>
      <c r="H50" s="10" t="s">
        <v>5</v>
      </c>
      <c r="I50" s="8"/>
      <c r="J50" s="39">
        <f>G50</f>
        <v>1.25</v>
      </c>
      <c r="K50" s="46" t="s">
        <v>5</v>
      </c>
      <c r="L50" s="163"/>
    </row>
    <row r="51" spans="2:12" x14ac:dyDescent="0.25">
      <c r="B51" s="162"/>
      <c r="C51" s="46" t="s">
        <v>44</v>
      </c>
      <c r="D51" s="46"/>
      <c r="E51" s="252"/>
      <c r="F51" s="252"/>
      <c r="G51" s="165">
        <f>IF(Formula!I36*'Service Calculator'!$E$34&lt;=Formula!H36,Formula!H36,IF(Formula!I36*'Service Calculator'!$E$34&gt;=Formula!J36,Formula!J36,Formula!I36*'Service Calculator'!$E$34))</f>
        <v>1.25</v>
      </c>
      <c r="H51" s="10" t="s">
        <v>5</v>
      </c>
      <c r="I51" s="46"/>
      <c r="J51" s="39">
        <f t="shared" ref="J51:J87" si="6">G51</f>
        <v>1.25</v>
      </c>
      <c r="K51" s="46" t="s">
        <v>5</v>
      </c>
      <c r="L51" s="163"/>
    </row>
    <row r="52" spans="2:12" x14ac:dyDescent="0.25">
      <c r="B52" s="162"/>
      <c r="C52" s="46" t="s">
        <v>181</v>
      </c>
      <c r="D52" s="46"/>
      <c r="E52" s="252"/>
      <c r="F52" s="252"/>
      <c r="G52" s="165">
        <f>IF(Formula!I37*'Service Calculator'!$E$34&lt;=Formula!H37,Formula!H37,IF(Formula!I37*'Service Calculator'!$E$34&gt;=Formula!J37,Formula!J37,Formula!I37*'Service Calculator'!$E$34))</f>
        <v>1.7500000000000002</v>
      </c>
      <c r="H52" s="10" t="s">
        <v>5</v>
      </c>
      <c r="I52" s="46"/>
      <c r="J52" s="39">
        <f t="shared" si="6"/>
        <v>1.7500000000000002</v>
      </c>
      <c r="K52" s="46" t="s">
        <v>5</v>
      </c>
      <c r="L52" s="163"/>
    </row>
    <row r="53" spans="2:12" x14ac:dyDescent="0.25">
      <c r="B53" s="162"/>
      <c r="C53" s="46" t="s">
        <v>116</v>
      </c>
      <c r="D53" s="46"/>
      <c r="E53" s="252"/>
      <c r="F53" s="252"/>
      <c r="G53" s="165">
        <f>IF(Formula!I38*'Service Calculator'!$E$34&lt;=Formula!H38,Formula!H38,IF(Formula!I38*'Service Calculator'!$E$34&gt;=Formula!J38,Formula!J38,Formula!I38*'Service Calculator'!$E$34))</f>
        <v>1.25</v>
      </c>
      <c r="H53" s="10" t="s">
        <v>5</v>
      </c>
      <c r="I53" s="46"/>
      <c r="J53" s="39">
        <f t="shared" si="6"/>
        <v>1.25</v>
      </c>
      <c r="K53" s="46" t="s">
        <v>5</v>
      </c>
      <c r="L53" s="163"/>
    </row>
    <row r="54" spans="2:12" x14ac:dyDescent="0.25">
      <c r="B54" s="162"/>
      <c r="C54" s="46"/>
      <c r="D54" s="46"/>
      <c r="E54" s="46"/>
      <c r="F54" s="46"/>
      <c r="G54" s="165"/>
      <c r="H54" s="46"/>
      <c r="I54" s="46"/>
      <c r="J54" s="38"/>
      <c r="K54" s="46"/>
      <c r="L54" s="163"/>
    </row>
    <row r="55" spans="2:12" x14ac:dyDescent="0.25">
      <c r="B55" s="162"/>
      <c r="C55" s="111" t="s">
        <v>117</v>
      </c>
      <c r="D55" s="46"/>
      <c r="E55" s="252"/>
      <c r="F55" s="252"/>
      <c r="G55" s="165"/>
      <c r="H55" s="10"/>
      <c r="I55" s="46"/>
      <c r="J55" s="38"/>
      <c r="K55" s="46"/>
      <c r="L55" s="163"/>
    </row>
    <row r="56" spans="2:12" x14ac:dyDescent="0.25">
      <c r="B56" s="162"/>
      <c r="C56" s="46" t="s">
        <v>118</v>
      </c>
      <c r="D56" s="46"/>
      <c r="E56" s="252"/>
      <c r="F56" s="252"/>
      <c r="G56" s="165">
        <f>IF(Formula!I40*'Service Calculator'!$E$34&lt;=Formula!H40,Formula!H40,IF(Formula!I40*'Service Calculator'!$E$34&gt;=Formula!J40,Formula!J40,Formula!I40*'Service Calculator'!$E$34))</f>
        <v>1.7500000000000002</v>
      </c>
      <c r="H56" s="10" t="s">
        <v>5</v>
      </c>
      <c r="I56" s="46"/>
      <c r="J56" s="39">
        <f t="shared" si="6"/>
        <v>1.7500000000000002</v>
      </c>
      <c r="K56" s="46" t="s">
        <v>5</v>
      </c>
      <c r="L56" s="163"/>
    </row>
    <row r="57" spans="2:12" x14ac:dyDescent="0.25">
      <c r="B57" s="162"/>
      <c r="C57" s="46" t="s">
        <v>119</v>
      </c>
      <c r="D57" s="46"/>
      <c r="E57" s="252"/>
      <c r="F57" s="252"/>
      <c r="G57" s="165">
        <f>IF(Formula!I41*'Service Calculator'!$E$34&lt;=Formula!H41,Formula!H41,IF(Formula!I41*'Service Calculator'!$E$34&gt;=Formula!J41,Formula!J41,Formula!I41*'Service Calculator'!$E$34))</f>
        <v>0</v>
      </c>
      <c r="H57" s="10" t="s">
        <v>5</v>
      </c>
      <c r="I57" s="46"/>
      <c r="J57" s="39">
        <f t="shared" si="6"/>
        <v>0</v>
      </c>
      <c r="K57" s="46" t="s">
        <v>5</v>
      </c>
      <c r="L57" s="163"/>
    </row>
    <row r="58" spans="2:12" x14ac:dyDescent="0.25">
      <c r="B58" s="162"/>
      <c r="C58" s="46" t="s">
        <v>120</v>
      </c>
      <c r="D58" s="46"/>
      <c r="E58" s="252"/>
      <c r="F58" s="252"/>
      <c r="G58" s="165">
        <f>IF(Formula!I42*'Service Calculator'!$E$34&lt;=Formula!H42,Formula!H42,IF(Formula!I42*'Service Calculator'!$E$34&gt;=Formula!J42,Formula!J42,Formula!I42*'Service Calculator'!$E$34))</f>
        <v>1.7500000000000002</v>
      </c>
      <c r="H58" s="10" t="s">
        <v>5</v>
      </c>
      <c r="I58" s="46"/>
      <c r="J58" s="39">
        <f t="shared" si="6"/>
        <v>1.7500000000000002</v>
      </c>
      <c r="K58" s="46" t="s">
        <v>5</v>
      </c>
      <c r="L58" s="163"/>
    </row>
    <row r="59" spans="2:12" x14ac:dyDescent="0.25">
      <c r="B59" s="162"/>
      <c r="C59" s="46" t="s">
        <v>121</v>
      </c>
      <c r="D59" s="46"/>
      <c r="E59" s="252"/>
      <c r="F59" s="252"/>
      <c r="G59" s="165">
        <f>IF(Formula!I43*'Service Calculator'!$E$34&lt;=Formula!H43,Formula!H43,IF(Formula!I43*'Service Calculator'!$E$34&gt;=Formula!J43,Formula!J43,Formula!I43*'Service Calculator'!$E$34))</f>
        <v>1.7500000000000002</v>
      </c>
      <c r="H59" s="10" t="s">
        <v>5</v>
      </c>
      <c r="I59" s="46"/>
      <c r="J59" s="39">
        <f t="shared" si="6"/>
        <v>1.7500000000000002</v>
      </c>
      <c r="K59" s="46" t="s">
        <v>5</v>
      </c>
      <c r="L59" s="163"/>
    </row>
    <row r="60" spans="2:12" x14ac:dyDescent="0.25">
      <c r="B60" s="162"/>
      <c r="C60" s="46"/>
      <c r="D60" s="46"/>
      <c r="E60" s="46"/>
      <c r="F60" s="46"/>
      <c r="G60" s="165"/>
      <c r="H60" s="46"/>
      <c r="I60" s="46"/>
      <c r="J60" s="38"/>
      <c r="K60" s="46"/>
      <c r="L60" s="163"/>
    </row>
    <row r="61" spans="2:12" x14ac:dyDescent="0.25">
      <c r="B61" s="162"/>
      <c r="C61" s="111" t="s">
        <v>122</v>
      </c>
      <c r="D61" s="46"/>
      <c r="E61" s="252"/>
      <c r="F61" s="252"/>
      <c r="G61" s="165"/>
      <c r="H61" s="10"/>
      <c r="I61" s="46"/>
      <c r="J61" s="38"/>
      <c r="K61" s="46"/>
      <c r="L61" s="163"/>
    </row>
    <row r="62" spans="2:12" x14ac:dyDescent="0.25">
      <c r="B62" s="162"/>
      <c r="C62" s="46" t="s">
        <v>123</v>
      </c>
      <c r="D62" s="46"/>
      <c r="E62" s="252"/>
      <c r="F62" s="252"/>
      <c r="G62" s="165">
        <f>IF(Formula!I45*'Service Calculator'!$E$34&lt;=Formula!H45,Formula!H45,IF(Formula!I45*'Service Calculator'!$E$34&gt;=Formula!J45,Formula!J45,Formula!I45*'Service Calculator'!$E$34))</f>
        <v>1.7500000000000002</v>
      </c>
      <c r="H62" s="10" t="s">
        <v>5</v>
      </c>
      <c r="I62" s="46"/>
      <c r="J62" s="39">
        <f t="shared" si="6"/>
        <v>1.7500000000000002</v>
      </c>
      <c r="K62" s="46" t="s">
        <v>5</v>
      </c>
      <c r="L62" s="163"/>
    </row>
    <row r="63" spans="2:12" x14ac:dyDescent="0.25">
      <c r="B63" s="162"/>
      <c r="C63" s="46" t="s">
        <v>124</v>
      </c>
      <c r="D63" s="46"/>
      <c r="E63" s="252"/>
      <c r="F63" s="252"/>
      <c r="G63" s="165">
        <f>IF(Formula!I46*'Service Calculator'!$E$34&lt;=Formula!H46,Formula!H46,IF(Formula!I46*'Service Calculator'!$E$34&gt;=Formula!J46,Formula!J46,Formula!I46*'Service Calculator'!$E$34))</f>
        <v>1.7500000000000002</v>
      </c>
      <c r="H63" s="10" t="s">
        <v>5</v>
      </c>
      <c r="I63" s="46"/>
      <c r="J63" s="39">
        <f t="shared" si="6"/>
        <v>1.7500000000000002</v>
      </c>
      <c r="K63" s="46" t="s">
        <v>5</v>
      </c>
      <c r="L63" s="163"/>
    </row>
    <row r="64" spans="2:12" x14ac:dyDescent="0.25">
      <c r="B64" s="162"/>
      <c r="C64" s="46" t="s">
        <v>125</v>
      </c>
      <c r="D64" s="46"/>
      <c r="E64" s="252"/>
      <c r="F64" s="252"/>
      <c r="G64" s="165">
        <f>IF(Formula!I47*'Service Calculator'!$E$34&lt;=Formula!H47,Formula!H47,IF(Formula!I47*'Service Calculator'!$E$34&gt;=Formula!J47,Formula!J47,Formula!I47*'Service Calculator'!$E$34))</f>
        <v>1.25</v>
      </c>
      <c r="H64" s="10" t="s">
        <v>5</v>
      </c>
      <c r="I64" s="46"/>
      <c r="J64" s="39">
        <f t="shared" si="6"/>
        <v>1.25</v>
      </c>
      <c r="K64" s="46" t="s">
        <v>5</v>
      </c>
      <c r="L64" s="163"/>
    </row>
    <row r="65" spans="2:12" x14ac:dyDescent="0.25">
      <c r="B65" s="162"/>
      <c r="C65" s="46" t="s">
        <v>126</v>
      </c>
      <c r="D65" s="46"/>
      <c r="E65" s="252"/>
      <c r="F65" s="252"/>
      <c r="G65" s="165">
        <f>IF(Formula!I48*'Service Calculator'!$E$34&lt;=Formula!H48,Formula!H48,IF(Formula!I48*'Service Calculator'!$E$34&gt;=Formula!J48,Formula!J48,Formula!I48*'Service Calculator'!$E$34))</f>
        <v>1.7500000000000002</v>
      </c>
      <c r="H65" s="10" t="s">
        <v>5</v>
      </c>
      <c r="I65" s="46"/>
      <c r="J65" s="39">
        <f t="shared" si="6"/>
        <v>1.7500000000000002</v>
      </c>
      <c r="K65" s="46" t="s">
        <v>5</v>
      </c>
      <c r="L65" s="163"/>
    </row>
    <row r="66" spans="2:12" x14ac:dyDescent="0.25">
      <c r="B66" s="162"/>
      <c r="C66" s="46"/>
      <c r="D66" s="46"/>
      <c r="E66" s="46"/>
      <c r="F66" s="46"/>
      <c r="G66" s="165"/>
      <c r="H66" s="46"/>
      <c r="I66" s="46"/>
      <c r="J66" s="38"/>
      <c r="K66" s="46"/>
      <c r="L66" s="163"/>
    </row>
    <row r="67" spans="2:12" x14ac:dyDescent="0.25">
      <c r="B67" s="162"/>
      <c r="C67" s="111" t="s">
        <v>127</v>
      </c>
      <c r="D67" s="46"/>
      <c r="E67" s="252"/>
      <c r="F67" s="252"/>
      <c r="G67" s="165"/>
      <c r="H67" s="10"/>
      <c r="I67" s="46"/>
      <c r="J67" s="38"/>
      <c r="K67" s="46"/>
      <c r="L67" s="163"/>
    </row>
    <row r="68" spans="2:12" x14ac:dyDescent="0.25">
      <c r="B68" s="162"/>
      <c r="C68" s="46" t="s">
        <v>128</v>
      </c>
      <c r="D68" s="46"/>
      <c r="E68" s="252"/>
      <c r="F68" s="252"/>
      <c r="G68" s="165">
        <f>IF(Formula!I50*'Service Calculator'!$E$34&lt;=Formula!H50,Formula!H50,IF(Formula!I50*'Service Calculator'!$E$34&gt;=Formula!J50,Formula!J50,Formula!I50*'Service Calculator'!$E$34))</f>
        <v>2.5</v>
      </c>
      <c r="H68" s="10" t="s">
        <v>5</v>
      </c>
      <c r="I68" s="46"/>
      <c r="J68" s="39">
        <f t="shared" si="6"/>
        <v>2.5</v>
      </c>
      <c r="K68" s="46" t="s">
        <v>5</v>
      </c>
      <c r="L68" s="163"/>
    </row>
    <row r="69" spans="2:12" x14ac:dyDescent="0.25">
      <c r="B69" s="162"/>
      <c r="C69" s="46" t="s">
        <v>129</v>
      </c>
      <c r="D69" s="46"/>
      <c r="E69" s="252"/>
      <c r="F69" s="252"/>
      <c r="G69" s="165">
        <f>IF(Formula!I51*'Service Calculator'!$E$34&lt;=Formula!H51,Formula!H51,IF(Formula!I51*'Service Calculator'!$E$34&gt;=Formula!J51,Formula!J51,Formula!I51*'Service Calculator'!$E$34))</f>
        <v>1.25</v>
      </c>
      <c r="H69" s="10" t="s">
        <v>5</v>
      </c>
      <c r="I69" s="46"/>
      <c r="J69" s="39">
        <f t="shared" si="6"/>
        <v>1.25</v>
      </c>
      <c r="K69" s="46" t="s">
        <v>5</v>
      </c>
      <c r="L69" s="163"/>
    </row>
    <row r="70" spans="2:12" x14ac:dyDescent="0.25">
      <c r="B70" s="162"/>
      <c r="C70" s="46" t="s">
        <v>130</v>
      </c>
      <c r="D70" s="46"/>
      <c r="E70" s="252"/>
      <c r="F70" s="252"/>
      <c r="G70" s="165">
        <f>IF(Formula!I52*'Service Calculator'!$E$34&lt;=Formula!H52,Formula!H52,IF(Formula!I52*'Service Calculator'!$E$34&gt;=Formula!J52,Formula!J52,Formula!I52*'Service Calculator'!$E$34))</f>
        <v>0</v>
      </c>
      <c r="H70" s="10" t="s">
        <v>5</v>
      </c>
      <c r="I70" s="46"/>
      <c r="J70" s="39">
        <f t="shared" si="6"/>
        <v>0</v>
      </c>
      <c r="K70" s="46" t="s">
        <v>5</v>
      </c>
      <c r="L70" s="163"/>
    </row>
    <row r="71" spans="2:12" x14ac:dyDescent="0.25">
      <c r="B71" s="162"/>
      <c r="C71" s="46" t="s">
        <v>131</v>
      </c>
      <c r="D71" s="46"/>
      <c r="E71" s="252"/>
      <c r="F71" s="252"/>
      <c r="G71" s="165">
        <f>IF(Formula!I53*'Service Calculator'!$E$34&lt;=Formula!H53,Formula!H53,IF(Formula!I53*'Service Calculator'!$E$34&gt;=Formula!J53,Formula!J53,Formula!I53*'Service Calculator'!$E$34))</f>
        <v>0</v>
      </c>
      <c r="H71" s="10" t="s">
        <v>5</v>
      </c>
      <c r="I71" s="46"/>
      <c r="J71" s="39">
        <f t="shared" si="6"/>
        <v>0</v>
      </c>
      <c r="K71" s="46" t="s">
        <v>5</v>
      </c>
      <c r="L71" s="163"/>
    </row>
    <row r="72" spans="2:12" x14ac:dyDescent="0.25">
      <c r="B72" s="162"/>
      <c r="C72" s="46"/>
      <c r="D72" s="46"/>
      <c r="E72" s="46"/>
      <c r="F72" s="46"/>
      <c r="G72" s="165"/>
      <c r="H72" s="46"/>
      <c r="I72" s="46"/>
      <c r="J72" s="38"/>
      <c r="K72" s="46"/>
      <c r="L72" s="163"/>
    </row>
    <row r="73" spans="2:12" x14ac:dyDescent="0.25">
      <c r="B73" s="162"/>
      <c r="C73" s="111" t="s">
        <v>132</v>
      </c>
      <c r="D73" s="46"/>
      <c r="E73" s="252"/>
      <c r="F73" s="252"/>
      <c r="G73" s="165"/>
      <c r="H73" s="10"/>
      <c r="I73" s="46"/>
      <c r="J73" s="38"/>
      <c r="K73" s="46"/>
      <c r="L73" s="163"/>
    </row>
    <row r="74" spans="2:12" x14ac:dyDescent="0.25">
      <c r="B74" s="162"/>
      <c r="C74" s="46" t="s">
        <v>133</v>
      </c>
      <c r="D74" s="46"/>
      <c r="E74" s="252"/>
      <c r="F74" s="252"/>
      <c r="G74" s="165">
        <f>IF(Formula!I55*'Service Calculator'!$E$34&lt;=Formula!H55,Formula!H55,IF(Formula!I55*'Service Calculator'!$E$34&gt;=Formula!J55,Formula!J55,Formula!I55*'Service Calculator'!$E$34))</f>
        <v>1.7500000000000002</v>
      </c>
      <c r="H74" s="10" t="s">
        <v>5</v>
      </c>
      <c r="I74" s="46"/>
      <c r="J74" s="39">
        <f t="shared" si="6"/>
        <v>1.7500000000000002</v>
      </c>
      <c r="K74" s="46" t="s">
        <v>5</v>
      </c>
      <c r="L74" s="163"/>
    </row>
    <row r="75" spans="2:12" x14ac:dyDescent="0.25">
      <c r="B75" s="162"/>
      <c r="C75" s="46" t="s">
        <v>134</v>
      </c>
      <c r="D75" s="46"/>
      <c r="E75" s="252"/>
      <c r="F75" s="252"/>
      <c r="G75" s="165">
        <f>IF(Formula!I56*'Service Calculator'!$E$34&lt;=Formula!H56,Formula!H56,IF(Formula!I56*'Service Calculator'!$E$34&gt;=Formula!J56,Formula!J56,Formula!I56*'Service Calculator'!$E$34))</f>
        <v>0</v>
      </c>
      <c r="H75" s="10" t="s">
        <v>5</v>
      </c>
      <c r="I75" s="46"/>
      <c r="J75" s="39">
        <f t="shared" si="6"/>
        <v>0</v>
      </c>
      <c r="K75" s="46" t="s">
        <v>5</v>
      </c>
      <c r="L75" s="163"/>
    </row>
    <row r="76" spans="2:12" x14ac:dyDescent="0.25">
      <c r="B76" s="162"/>
      <c r="C76" s="46" t="s">
        <v>135</v>
      </c>
      <c r="D76" s="46"/>
      <c r="E76" s="252"/>
      <c r="F76" s="252"/>
      <c r="G76" s="165">
        <f>IF(Formula!I57*'Service Calculator'!$E$34&lt;=Formula!H57,Formula!H57,IF(Formula!I57*'Service Calculator'!$E$34&gt;=Formula!J57,Formula!J57,Formula!I57*'Service Calculator'!$E$34))</f>
        <v>1.25</v>
      </c>
      <c r="H76" s="10" t="s">
        <v>5</v>
      </c>
      <c r="I76" s="46"/>
      <c r="J76" s="39">
        <f t="shared" si="6"/>
        <v>1.25</v>
      </c>
      <c r="K76" s="46" t="s">
        <v>5</v>
      </c>
      <c r="L76" s="163"/>
    </row>
    <row r="77" spans="2:12" x14ac:dyDescent="0.25">
      <c r="B77" s="162"/>
      <c r="C77" s="46" t="s">
        <v>136</v>
      </c>
      <c r="D77" s="46"/>
      <c r="E77" s="252"/>
      <c r="F77" s="252"/>
      <c r="G77" s="165">
        <f>IF(Formula!I58*'Service Calculator'!$E$34&lt;=Formula!H58,Formula!H58,IF(Formula!I58*'Service Calculator'!$E$34&gt;=Formula!J58,Formula!J58,Formula!I58*'Service Calculator'!$E$34))</f>
        <v>1.7500000000000002</v>
      </c>
      <c r="H77" s="10" t="s">
        <v>5</v>
      </c>
      <c r="I77" s="46"/>
      <c r="J77" s="39">
        <f t="shared" si="6"/>
        <v>1.7500000000000002</v>
      </c>
      <c r="K77" s="46" t="s">
        <v>5</v>
      </c>
      <c r="L77" s="163"/>
    </row>
    <row r="78" spans="2:12" x14ac:dyDescent="0.25">
      <c r="B78" s="162"/>
      <c r="C78" s="46" t="s">
        <v>137</v>
      </c>
      <c r="D78" s="46"/>
      <c r="E78" s="252"/>
      <c r="F78" s="252"/>
      <c r="G78" s="165">
        <f>IF(Formula!I59*'Service Calculator'!$E$34&lt;=Formula!H59,Formula!H59,IF(Formula!I59*'Service Calculator'!$E$34&gt;=Formula!J59,Formula!J59,Formula!I59*'Service Calculator'!$E$34))</f>
        <v>1.25</v>
      </c>
      <c r="H78" s="10" t="s">
        <v>5</v>
      </c>
      <c r="I78" s="46"/>
      <c r="J78" s="39">
        <f t="shared" si="6"/>
        <v>1.25</v>
      </c>
      <c r="K78" s="46" t="s">
        <v>5</v>
      </c>
      <c r="L78" s="163"/>
    </row>
    <row r="79" spans="2:12" x14ac:dyDescent="0.25">
      <c r="B79" s="162"/>
      <c r="C79" s="46" t="s">
        <v>138</v>
      </c>
      <c r="D79" s="46"/>
      <c r="E79" s="252"/>
      <c r="F79" s="252"/>
      <c r="G79" s="165">
        <f>IF(Formula!I60*'Service Calculator'!$E$34&lt;=Formula!H60,Formula!H60,IF(Formula!I60*'Service Calculator'!$E$34&gt;=Formula!J60,Formula!J60,Formula!I60*'Service Calculator'!$E$34))</f>
        <v>1.25</v>
      </c>
      <c r="H79" s="10" t="s">
        <v>5</v>
      </c>
      <c r="I79" s="46"/>
      <c r="J79" s="39">
        <f t="shared" si="6"/>
        <v>1.25</v>
      </c>
      <c r="K79" s="46" t="s">
        <v>5</v>
      </c>
      <c r="L79" s="163"/>
    </row>
    <row r="80" spans="2:12" x14ac:dyDescent="0.25">
      <c r="B80" s="162"/>
      <c r="C80" s="46" t="s">
        <v>139</v>
      </c>
      <c r="D80" s="46"/>
      <c r="E80" s="252"/>
      <c r="F80" s="252"/>
      <c r="G80" s="165">
        <f>IF(Formula!I61*'Service Calculator'!$E$34&lt;=Formula!H61,Formula!H61,IF(Formula!I61*'Service Calculator'!$E$34&gt;=Formula!J61,Formula!J61,Formula!I61*'Service Calculator'!$E$34))</f>
        <v>1.7500000000000002</v>
      </c>
      <c r="H80" s="10" t="s">
        <v>5</v>
      </c>
      <c r="I80" s="46"/>
      <c r="J80" s="39">
        <f t="shared" si="6"/>
        <v>1.7500000000000002</v>
      </c>
      <c r="K80" s="46" t="s">
        <v>5</v>
      </c>
      <c r="L80" s="163"/>
    </row>
    <row r="81" spans="2:12" x14ac:dyDescent="0.25">
      <c r="B81" s="162"/>
      <c r="C81" s="46" t="s">
        <v>140</v>
      </c>
      <c r="D81" s="46"/>
      <c r="E81" s="252"/>
      <c r="F81" s="252"/>
      <c r="G81" s="165">
        <f>IF(Formula!I62*'Service Calculator'!$E$34&lt;=Formula!H62,Formula!H62,IF(Formula!I62*'Service Calculator'!$E$34&gt;=Formula!J62,Formula!J62,Formula!I62*'Service Calculator'!$E$34))</f>
        <v>0</v>
      </c>
      <c r="H81" s="10" t="s">
        <v>5</v>
      </c>
      <c r="I81" s="46"/>
      <c r="J81" s="39">
        <f t="shared" si="6"/>
        <v>0</v>
      </c>
      <c r="K81" s="46" t="s">
        <v>5</v>
      </c>
      <c r="L81" s="163"/>
    </row>
    <row r="82" spans="2:12" x14ac:dyDescent="0.25">
      <c r="B82" s="162"/>
      <c r="C82" s="46"/>
      <c r="D82" s="46"/>
      <c r="E82" s="46"/>
      <c r="F82" s="46"/>
      <c r="G82" s="165"/>
      <c r="H82" s="10"/>
      <c r="I82" s="46"/>
      <c r="J82" s="38"/>
      <c r="K82" s="46"/>
      <c r="L82" s="163"/>
    </row>
    <row r="83" spans="2:12" x14ac:dyDescent="0.25">
      <c r="B83" s="162"/>
      <c r="C83" s="111" t="s">
        <v>141</v>
      </c>
      <c r="D83" s="46"/>
      <c r="E83" s="252"/>
      <c r="F83" s="252"/>
      <c r="G83" s="165"/>
      <c r="H83" s="10"/>
      <c r="I83" s="46"/>
      <c r="J83" s="38"/>
      <c r="K83" s="46"/>
      <c r="L83" s="163"/>
    </row>
    <row r="84" spans="2:12" x14ac:dyDescent="0.25">
      <c r="B84" s="162"/>
      <c r="C84" s="46" t="s">
        <v>45</v>
      </c>
      <c r="D84" s="46"/>
      <c r="E84" s="252"/>
      <c r="F84" s="252"/>
      <c r="G84" s="165">
        <f>IF(Formula!I64*'Service Calculator'!$E$34&lt;=Formula!H64,Formula!H64,IF(Formula!I64*'Service Calculator'!$E$34&gt;=Formula!J64,Formula!J64,Formula!I64*'Service Calculator'!$E$34))</f>
        <v>0</v>
      </c>
      <c r="H84" s="10" t="s">
        <v>5</v>
      </c>
      <c r="I84" s="46"/>
      <c r="J84" s="39">
        <f t="shared" si="6"/>
        <v>0</v>
      </c>
      <c r="K84" s="46" t="s">
        <v>5</v>
      </c>
      <c r="L84" s="163"/>
    </row>
    <row r="85" spans="2:12" x14ac:dyDescent="0.25">
      <c r="B85" s="162"/>
      <c r="C85" s="46" t="s">
        <v>142</v>
      </c>
      <c r="D85" s="46"/>
      <c r="E85" s="252"/>
      <c r="F85" s="252"/>
      <c r="G85" s="165">
        <f>IF(Formula!I65*'Service Calculator'!$E$34&lt;=Formula!H65,Formula!H65,IF(Formula!I65*'Service Calculator'!$E$34&gt;=Formula!J65,Formula!J65,Formula!I65*'Service Calculator'!$E$34))</f>
        <v>0</v>
      </c>
      <c r="H85" s="10" t="s">
        <v>5</v>
      </c>
      <c r="I85" s="46"/>
      <c r="J85" s="39">
        <f t="shared" si="6"/>
        <v>0</v>
      </c>
      <c r="K85" s="46" t="s">
        <v>5</v>
      </c>
      <c r="L85" s="163"/>
    </row>
    <row r="86" spans="2:12" x14ac:dyDescent="0.25">
      <c r="B86" s="162"/>
      <c r="C86" s="46" t="s">
        <v>143</v>
      </c>
      <c r="D86" s="46"/>
      <c r="E86" s="252"/>
      <c r="F86" s="252"/>
      <c r="G86" s="165">
        <f>IF(Formula!I66*'Service Calculator'!$E$34&lt;=Formula!H66,Formula!H66,IF(Formula!I66*'Service Calculator'!$E$34&gt;=Formula!J66,Formula!J66,Formula!I66*'Service Calculator'!$E$34))</f>
        <v>0</v>
      </c>
      <c r="H86" s="10" t="s">
        <v>5</v>
      </c>
      <c r="I86" s="46"/>
      <c r="J86" s="39">
        <f t="shared" si="6"/>
        <v>0</v>
      </c>
      <c r="K86" s="46" t="s">
        <v>5</v>
      </c>
      <c r="L86" s="163"/>
    </row>
    <row r="87" spans="2:12" x14ac:dyDescent="0.25">
      <c r="B87" s="162"/>
      <c r="C87" s="46" t="s">
        <v>144</v>
      </c>
      <c r="D87" s="46"/>
      <c r="E87" s="252"/>
      <c r="F87" s="252"/>
      <c r="G87" s="165">
        <f>IF(Formula!I67*'Service Calculator'!$E$34&lt;=Formula!H67,Formula!H67,IF(Formula!I67*'Service Calculator'!$E$34&gt;=Formula!J67,Formula!J67,Formula!I67*'Service Calculator'!$E$34))</f>
        <v>0</v>
      </c>
      <c r="H87" s="10" t="s">
        <v>5</v>
      </c>
      <c r="I87" s="46"/>
      <c r="J87" s="39">
        <f t="shared" si="6"/>
        <v>0</v>
      </c>
      <c r="K87" s="46" t="s">
        <v>5</v>
      </c>
      <c r="L87" s="163"/>
    </row>
    <row r="88" spans="2:12" x14ac:dyDescent="0.25">
      <c r="B88" s="162"/>
      <c r="C88" s="46"/>
      <c r="D88" s="46"/>
      <c r="E88" s="133"/>
      <c r="F88" s="133"/>
      <c r="G88" s="37"/>
      <c r="H88" s="10"/>
      <c r="I88" s="46"/>
      <c r="J88" s="113"/>
      <c r="K88" s="46"/>
      <c r="L88" s="163"/>
    </row>
    <row r="89" spans="2:12" ht="21" x14ac:dyDescent="0.25">
      <c r="B89" s="162"/>
      <c r="C89" s="265" t="s">
        <v>163</v>
      </c>
      <c r="D89" s="265"/>
      <c r="E89" s="265"/>
      <c r="F89" s="265"/>
      <c r="G89" s="100">
        <f>SUM(J50:J87)</f>
        <v>30</v>
      </c>
      <c r="H89" s="100" t="s">
        <v>5</v>
      </c>
      <c r="I89" s="101"/>
      <c r="J89" s="113"/>
      <c r="K89" s="46"/>
      <c r="L89" s="163"/>
    </row>
    <row r="90" spans="2:12" x14ac:dyDescent="0.25">
      <c r="B90" s="162"/>
      <c r="C90" s="46"/>
      <c r="D90" s="46"/>
      <c r="E90" s="46"/>
      <c r="F90" s="46"/>
      <c r="G90" s="34"/>
      <c r="H90" s="46"/>
      <c r="I90" s="46"/>
      <c r="J90" s="46"/>
      <c r="K90" s="46"/>
      <c r="L90" s="163"/>
    </row>
    <row r="91" spans="2:12" ht="21" customHeight="1" x14ac:dyDescent="0.25">
      <c r="B91" s="162"/>
      <c r="C91" s="115" t="s">
        <v>145</v>
      </c>
      <c r="D91" s="33"/>
      <c r="E91" s="33"/>
      <c r="F91" s="251" t="s">
        <v>161</v>
      </c>
      <c r="G91" s="251"/>
      <c r="H91" s="251" t="s">
        <v>162</v>
      </c>
      <c r="I91" s="251"/>
      <c r="J91" s="250" t="s">
        <v>172</v>
      </c>
      <c r="K91" s="250"/>
      <c r="L91" s="163"/>
    </row>
    <row r="92" spans="2:12" x14ac:dyDescent="0.25">
      <c r="B92" s="162"/>
      <c r="C92" s="46" t="s">
        <v>146</v>
      </c>
      <c r="D92" s="46"/>
      <c r="E92" s="46"/>
      <c r="F92" s="255"/>
      <c r="G92" s="255"/>
      <c r="H92" s="255"/>
      <c r="I92" s="255"/>
      <c r="J92" s="257">
        <f>Formula!I69</f>
        <v>1.5</v>
      </c>
      <c r="K92" s="257"/>
      <c r="L92" s="163"/>
    </row>
    <row r="93" spans="2:12" x14ac:dyDescent="0.25">
      <c r="B93" s="162"/>
      <c r="C93" s="46" t="s">
        <v>147</v>
      </c>
      <c r="D93" s="46"/>
      <c r="E93" s="46"/>
      <c r="F93" s="256"/>
      <c r="G93" s="256"/>
      <c r="H93" s="256"/>
      <c r="I93" s="256"/>
      <c r="J93" s="258">
        <f>Formula!I70</f>
        <v>2</v>
      </c>
      <c r="K93" s="258"/>
      <c r="L93" s="163"/>
    </row>
    <row r="94" spans="2:12" x14ac:dyDescent="0.25">
      <c r="B94" s="162"/>
      <c r="C94" s="46" t="s">
        <v>148</v>
      </c>
      <c r="D94" s="46"/>
      <c r="E94" s="46"/>
      <c r="F94" s="256"/>
      <c r="G94" s="256"/>
      <c r="H94" s="256"/>
      <c r="I94" s="256"/>
      <c r="J94" s="258">
        <f>Formula!I71</f>
        <v>3</v>
      </c>
      <c r="K94" s="258"/>
      <c r="L94" s="163"/>
    </row>
    <row r="95" spans="2:12" x14ac:dyDescent="0.25">
      <c r="B95" s="162"/>
      <c r="C95" s="46" t="s">
        <v>149</v>
      </c>
      <c r="D95" s="46"/>
      <c r="E95" s="46"/>
      <c r="F95" s="256"/>
      <c r="G95" s="256"/>
      <c r="H95" s="256"/>
      <c r="I95" s="256"/>
      <c r="J95" s="258">
        <f>Formula!I72</f>
        <v>2</v>
      </c>
      <c r="K95" s="258"/>
      <c r="L95" s="163"/>
    </row>
    <row r="96" spans="2:12" x14ac:dyDescent="0.25">
      <c r="B96" s="162"/>
      <c r="C96" s="46"/>
      <c r="D96" s="46"/>
      <c r="E96" s="46"/>
      <c r="F96" s="46"/>
      <c r="G96" s="34"/>
      <c r="H96" s="46"/>
      <c r="I96" s="46"/>
      <c r="J96" s="46"/>
      <c r="K96" s="46"/>
      <c r="L96" s="163"/>
    </row>
    <row r="97" spans="2:12" ht="18.75" x14ac:dyDescent="0.25">
      <c r="B97" s="162"/>
      <c r="C97" s="254"/>
      <c r="D97" s="254"/>
      <c r="E97" s="35"/>
      <c r="F97" s="35"/>
      <c r="G97" s="246" t="s">
        <v>190</v>
      </c>
      <c r="H97" s="246"/>
      <c r="I97" s="135"/>
      <c r="J97" s="247" t="s">
        <v>196</v>
      </c>
      <c r="K97" s="247"/>
      <c r="L97" s="163"/>
    </row>
    <row r="98" spans="2:12" ht="14.25" customHeight="1" x14ac:dyDescent="0.25">
      <c r="B98" s="162"/>
      <c r="C98" s="46" t="s">
        <v>146</v>
      </c>
      <c r="D98" s="102"/>
      <c r="E98" s="103"/>
      <c r="F98" s="103"/>
      <c r="G98" s="119">
        <f>F92*H92*J92</f>
        <v>0</v>
      </c>
      <c r="H98" s="10" t="s">
        <v>5</v>
      </c>
      <c r="I98" s="47"/>
      <c r="J98" s="214">
        <f>G98</f>
        <v>0</v>
      </c>
      <c r="K98" s="10" t="s">
        <v>5</v>
      </c>
      <c r="L98" s="163"/>
    </row>
    <row r="99" spans="2:12" ht="14.25" customHeight="1" x14ac:dyDescent="0.25">
      <c r="B99" s="162"/>
      <c r="C99" s="46" t="s">
        <v>147</v>
      </c>
      <c r="D99" s="102"/>
      <c r="E99" s="103"/>
      <c r="F99" s="103"/>
      <c r="G99" s="119">
        <f t="shared" ref="G99:G101" si="7">F93*H93*J93</f>
        <v>0</v>
      </c>
      <c r="H99" s="10" t="s">
        <v>5</v>
      </c>
      <c r="I99" s="47"/>
      <c r="J99" s="214">
        <f t="shared" ref="J99:J101" si="8">G99</f>
        <v>0</v>
      </c>
      <c r="K99" s="10" t="s">
        <v>5</v>
      </c>
      <c r="L99" s="163"/>
    </row>
    <row r="100" spans="2:12" x14ac:dyDescent="0.25">
      <c r="B100" s="162"/>
      <c r="C100" s="46" t="s">
        <v>148</v>
      </c>
      <c r="D100" s="46"/>
      <c r="E100" s="46"/>
      <c r="F100" s="46"/>
      <c r="G100" s="119">
        <f t="shared" si="7"/>
        <v>0</v>
      </c>
      <c r="H100" s="10" t="s">
        <v>5</v>
      </c>
      <c r="I100" s="46"/>
      <c r="J100" s="214">
        <f t="shared" si="8"/>
        <v>0</v>
      </c>
      <c r="K100" s="10" t="s">
        <v>5</v>
      </c>
      <c r="L100" s="163"/>
    </row>
    <row r="101" spans="2:12" x14ac:dyDescent="0.25">
      <c r="B101" s="162"/>
      <c r="C101" s="46" t="s">
        <v>149</v>
      </c>
      <c r="D101" s="46"/>
      <c r="E101" s="46"/>
      <c r="F101" s="46"/>
      <c r="G101" s="119">
        <f t="shared" si="7"/>
        <v>0</v>
      </c>
      <c r="H101" s="10" t="s">
        <v>5</v>
      </c>
      <c r="I101" s="46"/>
      <c r="J101" s="214">
        <f t="shared" si="8"/>
        <v>0</v>
      </c>
      <c r="K101" s="10" t="s">
        <v>5</v>
      </c>
      <c r="L101" s="163"/>
    </row>
    <row r="102" spans="2:12" x14ac:dyDescent="0.25">
      <c r="B102" s="58"/>
      <c r="L102" s="59"/>
    </row>
    <row r="103" spans="2:12" ht="21" x14ac:dyDescent="0.25">
      <c r="B103" s="58"/>
      <c r="C103" s="267" t="s">
        <v>164</v>
      </c>
      <c r="D103" s="267"/>
      <c r="E103" s="267"/>
      <c r="F103" s="267"/>
      <c r="G103" s="128">
        <f>SUM(J98:J101)</f>
        <v>0</v>
      </c>
      <c r="H103" s="129" t="s">
        <v>5</v>
      </c>
      <c r="L103" s="59"/>
    </row>
    <row r="104" spans="2:12" ht="15.75" thickBot="1" x14ac:dyDescent="0.3">
      <c r="B104" s="58"/>
      <c r="L104" s="59"/>
    </row>
    <row r="105" spans="2:12" ht="27.75" thickTop="1" thickBot="1" x14ac:dyDescent="0.3">
      <c r="B105" s="58"/>
      <c r="C105" s="130" t="s">
        <v>152</v>
      </c>
      <c r="D105" s="130"/>
      <c r="E105" s="130"/>
      <c r="F105" s="175">
        <f>IF(E7&lt;2750,190,SUM(E34,G47,G89,G103))</f>
        <v>190</v>
      </c>
      <c r="G105" s="130" t="s">
        <v>5</v>
      </c>
      <c r="L105" s="59"/>
    </row>
    <row r="106" spans="2:12" ht="15.75" thickTop="1" x14ac:dyDescent="0.25">
      <c r="B106" s="61"/>
      <c r="C106" s="62"/>
      <c r="D106" s="62"/>
      <c r="E106" s="62"/>
      <c r="F106" s="62"/>
      <c r="G106" s="62"/>
      <c r="H106" s="62"/>
      <c r="I106" s="62"/>
      <c r="J106" s="62"/>
      <c r="K106" s="62"/>
      <c r="L106" s="63"/>
    </row>
  </sheetData>
  <mergeCells count="77">
    <mergeCell ref="G7:K8"/>
    <mergeCell ref="C29:D29"/>
    <mergeCell ref="C16:D16"/>
    <mergeCell ref="C24:D24"/>
    <mergeCell ref="C25:D25"/>
    <mergeCell ref="C26:D26"/>
    <mergeCell ref="C27:D27"/>
    <mergeCell ref="C28:D28"/>
    <mergeCell ref="C49:D49"/>
    <mergeCell ref="E50:F50"/>
    <mergeCell ref="E51:F51"/>
    <mergeCell ref="C30:D30"/>
    <mergeCell ref="C32:F32"/>
    <mergeCell ref="C34:D34"/>
    <mergeCell ref="C103:F103"/>
    <mergeCell ref="J49:K49"/>
    <mergeCell ref="E84:F84"/>
    <mergeCell ref="E85:F85"/>
    <mergeCell ref="E86:F86"/>
    <mergeCell ref="E87:F87"/>
    <mergeCell ref="E78:F78"/>
    <mergeCell ref="E79:F79"/>
    <mergeCell ref="E80:F80"/>
    <mergeCell ref="E81:F81"/>
    <mergeCell ref="E83:F83"/>
    <mergeCell ref="E73:F73"/>
    <mergeCell ref="E74:F74"/>
    <mergeCell ref="E75:F75"/>
    <mergeCell ref="E76:F76"/>
    <mergeCell ref="E77:F77"/>
    <mergeCell ref="B2:L3"/>
    <mergeCell ref="G49:H49"/>
    <mergeCell ref="C89:F89"/>
    <mergeCell ref="C36:E36"/>
    <mergeCell ref="C37:D37"/>
    <mergeCell ref="E39:E40"/>
    <mergeCell ref="C47:F47"/>
    <mergeCell ref="E67:F67"/>
    <mergeCell ref="E68:F68"/>
    <mergeCell ref="E69:F69"/>
    <mergeCell ref="E70:F70"/>
    <mergeCell ref="E71:F71"/>
    <mergeCell ref="E61:F61"/>
    <mergeCell ref="E62:F62"/>
    <mergeCell ref="E63:F63"/>
    <mergeCell ref="E64:F64"/>
    <mergeCell ref="C97:D97"/>
    <mergeCell ref="G97:H97"/>
    <mergeCell ref="J97:K97"/>
    <mergeCell ref="F92:G92"/>
    <mergeCell ref="F93:G93"/>
    <mergeCell ref="F94:G94"/>
    <mergeCell ref="F95:G95"/>
    <mergeCell ref="H92:I92"/>
    <mergeCell ref="H93:I93"/>
    <mergeCell ref="H94:I94"/>
    <mergeCell ref="H95:I95"/>
    <mergeCell ref="J92:K92"/>
    <mergeCell ref="J93:K93"/>
    <mergeCell ref="J94:K94"/>
    <mergeCell ref="J95:K95"/>
    <mergeCell ref="G36:H36"/>
    <mergeCell ref="J36:K36"/>
    <mergeCell ref="G39:H39"/>
    <mergeCell ref="J39:K40"/>
    <mergeCell ref="J91:K91"/>
    <mergeCell ref="F91:G91"/>
    <mergeCell ref="H91:I91"/>
    <mergeCell ref="E65:F65"/>
    <mergeCell ref="E55:F55"/>
    <mergeCell ref="E56:F56"/>
    <mergeCell ref="E57:F57"/>
    <mergeCell ref="E58:F58"/>
    <mergeCell ref="E59:F59"/>
    <mergeCell ref="E52:F52"/>
    <mergeCell ref="E53:F53"/>
    <mergeCell ref="G37:H37"/>
  </mergeCells>
  <conditionalFormatting sqref="E17 E44">
    <cfRule type="cellIs" dxfId="2" priority="1" operator="between">
      <formula>0.00001</formula>
      <formula>0.9999999</formula>
    </cfRule>
  </conditionalFormatting>
  <dataValidations count="5">
    <dataValidation sqref="E9" xr:uid="{008D7B5C-C5F9-43B3-A3E5-C5D82B1A7B61}"/>
    <dataValidation type="custom" operator="equal" allowBlank="1" showErrorMessage="1" error="collection size percentages must total 100" sqref="E17" xr:uid="{CD21B9B8-E942-4628-B3AA-457D1F32C227}">
      <formula1>"OR(E15=""0"",E15=""1"")."</formula1>
    </dataValidation>
    <dataValidation type="decimal" allowBlank="1" showInputMessage="1" showErrorMessage="1" promptTitle="Collection Percentage" prompt="These four items (books, periodicals, non-print and virtual) must add to 100%" sqref="E10:E13" xr:uid="{10E5491C-4EB0-4FB5-88C7-6639474842C7}">
      <formula1>0</formula1>
      <formula2>100</formula2>
    </dataValidation>
    <dataValidation allowBlank="1" showInputMessage="1" showErrorMessage="1" promptTitle="Catchment Population" prompt="Enter the ten-year population forecast for the local catchment of the proposed Library." sqref="E7" xr:uid="{50B06447-178C-4466-8482-3088829D85B0}"/>
    <dataValidation type="decimal" allowBlank="1" showInputMessage="1" showErrorMessage="1" promptTitle="Seating Percentage" prompt="These three items (desks, lounges and group study) must add to 100%" sqref="E41:E43" xr:uid="{B8604554-32D7-459F-9C4A-01CFA09287EB}">
      <formula1>0</formula1>
      <formula2>100</formula2>
    </dataValidation>
  </dataValidations>
  <pageMargins left="0.7" right="0.7" top="0.75" bottom="0.75" header="0.3" footer="0.3"/>
  <pageSetup paperSize="256" orientation="portrait" horizontalDpi="203" verticalDpi="20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AC4BD-9675-4BF3-990F-F16B372370AD}">
  <dimension ref="B2:M93"/>
  <sheetViews>
    <sheetView showGridLines="0" workbookViewId="0">
      <selection activeCell="B2" sqref="B2:M3"/>
    </sheetView>
  </sheetViews>
  <sheetFormatPr defaultRowHeight="15" x14ac:dyDescent="0.25"/>
  <cols>
    <col min="5" max="5" width="6.7109375" customWidth="1"/>
    <col min="6" max="6" width="11.140625" customWidth="1"/>
    <col min="7" max="7" width="11.85546875" bestFit="1" customWidth="1"/>
    <col min="12" max="12" width="8.7109375" customWidth="1"/>
  </cols>
  <sheetData>
    <row r="2" spans="2:13" ht="15" customHeight="1" x14ac:dyDescent="0.25">
      <c r="B2" s="259" t="s">
        <v>197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1"/>
    </row>
    <row r="3" spans="2:13" ht="15" customHeight="1" x14ac:dyDescent="0.25">
      <c r="B3" s="262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4"/>
    </row>
    <row r="4" spans="2:13" ht="15" customHeight="1" x14ac:dyDescent="0.25">
      <c r="B4" s="167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68"/>
    </row>
    <row r="5" spans="2:13" ht="15" customHeight="1" x14ac:dyDescent="0.25">
      <c r="B5" s="167"/>
      <c r="C5" s="174" t="s">
        <v>177</v>
      </c>
      <c r="D5" s="134"/>
      <c r="E5" s="134"/>
      <c r="F5" s="134"/>
      <c r="G5" s="134"/>
      <c r="H5" s="134"/>
      <c r="I5" s="134"/>
      <c r="J5" s="134"/>
      <c r="K5" s="134"/>
      <c r="L5" s="134"/>
      <c r="M5" s="168"/>
    </row>
    <row r="6" spans="2:13" x14ac:dyDescent="0.25">
      <c r="B6" s="153"/>
      <c r="C6" s="1"/>
      <c r="D6" s="1"/>
      <c r="E6" s="48"/>
      <c r="F6" s="48"/>
      <c r="G6" s="48"/>
      <c r="H6" s="49"/>
      <c r="I6" s="49"/>
      <c r="J6" s="48"/>
      <c r="K6" s="48"/>
      <c r="L6" s="48"/>
      <c r="M6" s="154"/>
    </row>
    <row r="7" spans="2:13" ht="18.75" customHeight="1" x14ac:dyDescent="0.25">
      <c r="B7" s="153"/>
      <c r="C7" s="284" t="s">
        <v>155</v>
      </c>
      <c r="D7" s="284"/>
      <c r="E7" s="284"/>
      <c r="F7" s="284"/>
      <c r="G7" s="179"/>
      <c r="H7" s="50"/>
      <c r="I7" s="286"/>
      <c r="J7" s="287"/>
      <c r="K7" s="189" t="s">
        <v>5</v>
      </c>
      <c r="L7" s="51"/>
      <c r="M7" s="154"/>
    </row>
    <row r="8" spans="2:13" ht="20.25" customHeight="1" x14ac:dyDescent="0.25">
      <c r="B8" s="153"/>
      <c r="C8" s="285" t="s">
        <v>154</v>
      </c>
      <c r="D8" s="285"/>
      <c r="E8" s="285"/>
      <c r="F8" s="285"/>
      <c r="G8" s="180"/>
      <c r="H8" s="52"/>
      <c r="I8" s="288">
        <f>I7-SUM(K21,K33,K75,K88)</f>
        <v>0</v>
      </c>
      <c r="J8" s="289"/>
      <c r="K8" s="190" t="s">
        <v>5</v>
      </c>
      <c r="L8" s="53"/>
      <c r="M8" s="154"/>
    </row>
    <row r="9" spans="2:13" x14ac:dyDescent="0.25">
      <c r="B9" s="153"/>
      <c r="C9" s="1"/>
      <c r="D9" s="1"/>
      <c r="E9" s="48"/>
      <c r="F9" s="48"/>
      <c r="G9" s="48"/>
      <c r="H9" s="48"/>
      <c r="I9" s="48"/>
      <c r="J9" s="48"/>
      <c r="K9" s="48"/>
      <c r="L9" s="48"/>
      <c r="M9" s="154"/>
    </row>
    <row r="10" spans="2:13" ht="15.75" x14ac:dyDescent="0.25">
      <c r="B10" s="153"/>
      <c r="C10" s="280" t="s">
        <v>47</v>
      </c>
      <c r="D10" s="280"/>
      <c r="E10" s="280"/>
      <c r="F10" s="276"/>
      <c r="G10" s="277"/>
      <c r="H10" s="48"/>
      <c r="I10" s="281" t="s">
        <v>53</v>
      </c>
      <c r="J10" s="281"/>
      <c r="K10" s="281"/>
      <c r="L10" s="196">
        <f>ROUND(IF(F10&lt;=20000,Formula!H12,IF(F10&gt;20000,(F10*Formula!H13/Formula!H14),0)),0)</f>
        <v>5</v>
      </c>
      <c r="M10" s="154"/>
    </row>
    <row r="11" spans="2:13" x14ac:dyDescent="0.25">
      <c r="B11" s="155"/>
      <c r="C11" s="156"/>
      <c r="D11" s="156"/>
      <c r="E11" s="191"/>
      <c r="F11" s="191"/>
      <c r="G11" s="191"/>
      <c r="H11" s="191"/>
      <c r="I11" s="191"/>
      <c r="J11" s="191"/>
      <c r="K11" s="191"/>
      <c r="L11" s="191"/>
      <c r="M11" s="157"/>
    </row>
    <row r="12" spans="2:13" x14ac:dyDescent="0.25">
      <c r="B12" s="158"/>
      <c r="C12" s="159"/>
      <c r="D12" s="159"/>
      <c r="E12" s="160"/>
      <c r="F12" s="160"/>
      <c r="G12" s="160"/>
      <c r="H12" s="160"/>
      <c r="I12" s="160"/>
      <c r="J12" s="160"/>
      <c r="K12" s="160"/>
      <c r="L12" s="160"/>
      <c r="M12" s="161"/>
    </row>
    <row r="13" spans="2:13" x14ac:dyDescent="0.25">
      <c r="B13" s="162"/>
      <c r="C13" s="46"/>
      <c r="D13" s="46"/>
      <c r="E13" s="4"/>
      <c r="F13" s="4"/>
      <c r="G13" s="4"/>
      <c r="H13" s="4"/>
      <c r="I13" s="4"/>
      <c r="J13" s="4"/>
      <c r="K13" s="4"/>
      <c r="L13" s="4"/>
      <c r="M13" s="163"/>
    </row>
    <row r="14" spans="2:13" ht="18.75" customHeight="1" x14ac:dyDescent="0.25">
      <c r="B14" s="162"/>
      <c r="C14" s="271" t="s">
        <v>54</v>
      </c>
      <c r="D14" s="271"/>
      <c r="E14" s="135"/>
      <c r="F14" s="135"/>
      <c r="G14" s="135" t="s">
        <v>189</v>
      </c>
      <c r="H14" s="246" t="s">
        <v>190</v>
      </c>
      <c r="I14" s="246"/>
      <c r="J14" s="246"/>
      <c r="K14" s="246" t="s">
        <v>191</v>
      </c>
      <c r="L14" s="246"/>
      <c r="M14" s="163"/>
    </row>
    <row r="15" spans="2:13" x14ac:dyDescent="0.25">
      <c r="B15" s="162"/>
      <c r="C15" s="46" t="s">
        <v>30</v>
      </c>
      <c r="D15" s="46"/>
      <c r="E15" s="56"/>
      <c r="F15" s="38"/>
      <c r="G15" s="38"/>
      <c r="H15" s="291">
        <f>I7*Formula!C23-SUM(H16:I19)</f>
        <v>-25</v>
      </c>
      <c r="I15" s="291"/>
      <c r="J15" s="46" t="s">
        <v>5</v>
      </c>
      <c r="K15" s="54"/>
      <c r="L15" s="33" t="s">
        <v>5</v>
      </c>
      <c r="M15" s="163"/>
    </row>
    <row r="16" spans="2:13" ht="15" customHeight="1" x14ac:dyDescent="0.25">
      <c r="B16" s="162"/>
      <c r="C16" s="223" t="s">
        <v>187</v>
      </c>
      <c r="D16" s="223"/>
      <c r="E16" s="222"/>
      <c r="F16" s="222"/>
      <c r="G16" s="229">
        <f>L10</f>
        <v>5</v>
      </c>
      <c r="H16" s="282">
        <f>L10*Formula!H15</f>
        <v>25</v>
      </c>
      <c r="I16" s="282"/>
      <c r="J16" s="224" t="s">
        <v>5</v>
      </c>
      <c r="K16" s="197"/>
      <c r="L16" s="46" t="s">
        <v>5</v>
      </c>
      <c r="M16" s="163"/>
    </row>
    <row r="17" spans="2:13" x14ac:dyDescent="0.25">
      <c r="B17" s="162"/>
      <c r="C17" s="266" t="s">
        <v>35</v>
      </c>
      <c r="D17" s="266"/>
      <c r="E17" s="266"/>
      <c r="F17" s="266"/>
      <c r="G17" s="230"/>
      <c r="H17" s="183"/>
      <c r="I17" s="183">
        <f>Formula!H16*G17</f>
        <v>0</v>
      </c>
      <c r="J17" s="225" t="s">
        <v>5</v>
      </c>
      <c r="K17" s="227"/>
      <c r="L17" s="46" t="s">
        <v>5</v>
      </c>
      <c r="M17" s="163"/>
    </row>
    <row r="18" spans="2:13" x14ac:dyDescent="0.25">
      <c r="B18" s="162"/>
      <c r="C18" s="290" t="s">
        <v>36</v>
      </c>
      <c r="D18" s="290"/>
      <c r="E18" s="290"/>
      <c r="F18" s="290"/>
      <c r="G18" s="230"/>
      <c r="H18" s="183"/>
      <c r="I18" s="183">
        <f>Formula!H17*G18</f>
        <v>0</v>
      </c>
      <c r="J18" s="225" t="s">
        <v>5</v>
      </c>
      <c r="K18" s="227"/>
      <c r="L18" s="46" t="s">
        <v>5</v>
      </c>
      <c r="M18" s="163"/>
    </row>
    <row r="19" spans="2:13" x14ac:dyDescent="0.25">
      <c r="B19" s="162"/>
      <c r="C19" s="266" t="s">
        <v>186</v>
      </c>
      <c r="D19" s="266"/>
      <c r="E19" s="266"/>
      <c r="F19" s="182"/>
      <c r="G19" s="230"/>
      <c r="H19" s="183"/>
      <c r="I19" s="183">
        <f>Formula!H18*G19</f>
        <v>0</v>
      </c>
      <c r="J19" s="226" t="s">
        <v>5</v>
      </c>
      <c r="K19" s="227"/>
      <c r="L19" s="46" t="s">
        <v>5</v>
      </c>
      <c r="M19" s="163"/>
    </row>
    <row r="20" spans="2:13" ht="15.75" thickBot="1" x14ac:dyDescent="0.3">
      <c r="B20" s="162"/>
      <c r="C20" s="182"/>
      <c r="D20" s="182"/>
      <c r="E20" s="182"/>
      <c r="F20" s="182"/>
      <c r="G20" s="55"/>
      <c r="H20" s="183"/>
      <c r="I20" s="183"/>
      <c r="J20" s="46"/>
      <c r="K20" s="198"/>
      <c r="L20" s="46"/>
      <c r="M20" s="163"/>
    </row>
    <row r="21" spans="2:13" ht="25.5" customHeight="1" thickTop="1" thickBot="1" x14ac:dyDescent="0.3">
      <c r="B21" s="162"/>
      <c r="C21" s="57" t="s">
        <v>165</v>
      </c>
      <c r="D21" s="57"/>
      <c r="E21" s="57"/>
      <c r="F21" s="57"/>
      <c r="G21" s="181"/>
      <c r="H21" s="275"/>
      <c r="I21" s="275"/>
      <c r="J21" s="107"/>
      <c r="K21" s="201">
        <f>SUM(K15:K19)</f>
        <v>0</v>
      </c>
      <c r="L21" s="178" t="s">
        <v>5</v>
      </c>
      <c r="M21" s="163"/>
    </row>
    <row r="22" spans="2:13" ht="15.75" thickTop="1" x14ac:dyDescent="0.25">
      <c r="B22" s="162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163"/>
    </row>
    <row r="23" spans="2:13" ht="18.75" customHeight="1" x14ac:dyDescent="0.25">
      <c r="B23" s="162"/>
      <c r="C23" s="254" t="s">
        <v>38</v>
      </c>
      <c r="D23" s="254"/>
      <c r="E23" s="254"/>
      <c r="F23" s="254"/>
      <c r="G23" s="254"/>
      <c r="H23" s="246" t="s">
        <v>193</v>
      </c>
      <c r="I23" s="246"/>
      <c r="J23" s="246"/>
      <c r="K23" s="246" t="s">
        <v>194</v>
      </c>
      <c r="L23" s="246"/>
      <c r="M23" s="163"/>
    </row>
    <row r="24" spans="2:13" x14ac:dyDescent="0.25">
      <c r="B24" s="162"/>
      <c r="C24" s="106" t="s">
        <v>39</v>
      </c>
      <c r="D24" s="46"/>
      <c r="E24" s="46"/>
      <c r="F24" s="46"/>
      <c r="G24" s="46"/>
      <c r="H24" s="257">
        <f>IF(F10&gt;200000,(597+((F10-200000)*(Formula!H29/1000))),IF(F10&gt;100000,(397+((F10-100000)*(Formula!H28/1000))),IF(F10&gt;50000,(247+((F10-50000)*(Formula!H27/1000))),IF(F10&gt;25000,(147+((F10-25000)*(Formula!H26/1000))),IF(F10&gt;10000,(72+((F10-10000)*(Formula!H25/1000))),IF(F10&gt;2500,(20+((F10-2500)*(Formula!H24/1000))),Formula!H23))))))</f>
        <v>20</v>
      </c>
      <c r="I24" s="257"/>
      <c r="J24" s="257"/>
      <c r="K24" s="110"/>
      <c r="L24" s="46"/>
      <c r="M24" s="163"/>
    </row>
    <row r="25" spans="2:13" x14ac:dyDescent="0.25">
      <c r="B25" s="162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163"/>
    </row>
    <row r="26" spans="2:13" ht="15" customHeight="1" x14ac:dyDescent="0.25">
      <c r="B26" s="162"/>
      <c r="C26" s="109"/>
      <c r="D26" s="109"/>
      <c r="E26" s="109"/>
      <c r="F26" s="248" t="s">
        <v>173</v>
      </c>
      <c r="G26" s="109"/>
      <c r="H26" s="248" t="s">
        <v>190</v>
      </c>
      <c r="I26" s="248"/>
      <c r="J26" s="248"/>
      <c r="K26" s="248" t="s">
        <v>191</v>
      </c>
      <c r="L26" s="248"/>
      <c r="M26" s="163"/>
    </row>
    <row r="27" spans="2:13" x14ac:dyDescent="0.25">
      <c r="B27" s="162"/>
      <c r="C27" s="108"/>
      <c r="D27" s="108"/>
      <c r="E27" s="108"/>
      <c r="F27" s="278"/>
      <c r="G27" s="108"/>
      <c r="H27" s="249"/>
      <c r="I27" s="249"/>
      <c r="J27" s="249"/>
      <c r="K27" s="249"/>
      <c r="L27" s="249"/>
      <c r="M27" s="163"/>
    </row>
    <row r="28" spans="2:13" x14ac:dyDescent="0.25">
      <c r="B28" s="162"/>
      <c r="C28" s="46" t="s">
        <v>158</v>
      </c>
      <c r="D28" s="46"/>
      <c r="E28" s="46"/>
      <c r="F28" s="187">
        <f>Formula!C24</f>
        <v>0.7</v>
      </c>
      <c r="G28" s="46"/>
      <c r="H28" s="46"/>
      <c r="I28" s="46">
        <f>$H$24*F28</f>
        <v>14</v>
      </c>
      <c r="J28" s="46" t="s">
        <v>5</v>
      </c>
      <c r="K28" s="1">
        <f>$K$24*F28</f>
        <v>0</v>
      </c>
      <c r="L28" s="46" t="s">
        <v>5</v>
      </c>
      <c r="M28" s="163"/>
    </row>
    <row r="29" spans="2:13" x14ac:dyDescent="0.25">
      <c r="B29" s="162"/>
      <c r="C29" s="46" t="s">
        <v>159</v>
      </c>
      <c r="D29" s="46"/>
      <c r="E29" s="46"/>
      <c r="F29" s="186">
        <f>Formula!C25</f>
        <v>0.2</v>
      </c>
      <c r="G29" s="46"/>
      <c r="H29" s="46"/>
      <c r="I29" s="46">
        <f t="shared" ref="I29:I30" si="0">$H$24*F29</f>
        <v>4</v>
      </c>
      <c r="J29" s="46" t="s">
        <v>5</v>
      </c>
      <c r="K29" s="1">
        <f t="shared" ref="K29:K30" si="1">$K$24*F29</f>
        <v>0</v>
      </c>
      <c r="L29" s="46" t="s">
        <v>5</v>
      </c>
      <c r="M29" s="163"/>
    </row>
    <row r="30" spans="2:13" ht="18" customHeight="1" x14ac:dyDescent="0.25">
      <c r="B30" s="162"/>
      <c r="C30" s="120" t="s">
        <v>160</v>
      </c>
      <c r="D30" s="46"/>
      <c r="E30" s="46"/>
      <c r="F30" s="186">
        <f>Formula!C26</f>
        <v>0.1</v>
      </c>
      <c r="G30" s="46"/>
      <c r="H30" s="46"/>
      <c r="I30" s="46">
        <f t="shared" si="0"/>
        <v>2</v>
      </c>
      <c r="J30" s="46" t="s">
        <v>5</v>
      </c>
      <c r="K30" s="1">
        <f t="shared" si="1"/>
        <v>0</v>
      </c>
      <c r="L30" s="46" t="s">
        <v>5</v>
      </c>
      <c r="M30" s="163"/>
    </row>
    <row r="31" spans="2:13" ht="18" customHeight="1" x14ac:dyDescent="0.25">
      <c r="B31" s="162"/>
      <c r="C31" s="120"/>
      <c r="D31" s="46"/>
      <c r="E31" s="46"/>
      <c r="F31" s="184">
        <f>SUM(F28:F30)</f>
        <v>0.99999999999999989</v>
      </c>
      <c r="G31" s="46"/>
      <c r="H31" s="46"/>
      <c r="I31" s="46"/>
      <c r="J31" s="46"/>
      <c r="K31" s="46"/>
      <c r="L31" s="46"/>
      <c r="M31" s="163"/>
    </row>
    <row r="32" spans="2:13" ht="18" customHeight="1" thickBot="1" x14ac:dyDescent="0.3">
      <c r="B32" s="162"/>
      <c r="C32" s="120"/>
      <c r="D32" s="46"/>
      <c r="E32" s="46"/>
      <c r="F32" s="199"/>
      <c r="G32" s="46"/>
      <c r="H32" s="46"/>
      <c r="I32" s="46"/>
      <c r="J32" s="46"/>
      <c r="K32" s="46"/>
      <c r="L32" s="46"/>
      <c r="M32" s="163"/>
    </row>
    <row r="33" spans="2:13" ht="26.25" customHeight="1" thickTop="1" thickBot="1" x14ac:dyDescent="0.3">
      <c r="B33" s="162"/>
      <c r="C33" s="274" t="s">
        <v>153</v>
      </c>
      <c r="D33" s="274"/>
      <c r="E33" s="274"/>
      <c r="F33" s="279"/>
      <c r="G33" s="274"/>
      <c r="H33" s="275"/>
      <c r="I33" s="275"/>
      <c r="J33" s="107"/>
      <c r="K33" s="131">
        <f>SUM(K28:K30)</f>
        <v>0</v>
      </c>
      <c r="L33" s="178" t="s">
        <v>5</v>
      </c>
      <c r="M33" s="163"/>
    </row>
    <row r="34" spans="2:13" ht="15.75" thickTop="1" x14ac:dyDescent="0.25">
      <c r="B34" s="162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163"/>
    </row>
    <row r="35" spans="2:13" ht="18.75" x14ac:dyDescent="0.25">
      <c r="B35" s="162"/>
      <c r="C35" s="254" t="s">
        <v>114</v>
      </c>
      <c r="D35" s="254"/>
      <c r="E35" s="254"/>
      <c r="F35" s="254"/>
      <c r="G35" s="254"/>
      <c r="H35" s="247" t="s">
        <v>190</v>
      </c>
      <c r="I35" s="247"/>
      <c r="J35" s="247"/>
      <c r="K35" s="246" t="s">
        <v>191</v>
      </c>
      <c r="L35" s="246"/>
      <c r="M35" s="163"/>
    </row>
    <row r="36" spans="2:13" x14ac:dyDescent="0.25">
      <c r="B36" s="162"/>
      <c r="C36" s="106" t="s">
        <v>43</v>
      </c>
      <c r="D36" s="106"/>
      <c r="E36" s="46"/>
      <c r="F36" s="46"/>
      <c r="G36" s="46"/>
      <c r="H36" s="46">
        <f>IF(Formula!I35*$I$7&lt;=Formula!H35,Formula!H35,IF(Formula!I35*$I$7&gt;=Formula!J35,Formula!J35,Formula!I35*$I$7))</f>
        <v>0</v>
      </c>
      <c r="I36" s="46" t="s">
        <v>5</v>
      </c>
      <c r="J36" s="46"/>
      <c r="K36" s="112"/>
      <c r="L36" s="46" t="s">
        <v>5</v>
      </c>
      <c r="M36" s="163"/>
    </row>
    <row r="37" spans="2:13" x14ac:dyDescent="0.25">
      <c r="B37" s="162"/>
      <c r="C37" s="46" t="s">
        <v>44</v>
      </c>
      <c r="D37" s="46"/>
      <c r="E37" s="46"/>
      <c r="F37" s="46"/>
      <c r="G37" s="46"/>
      <c r="H37" s="46">
        <f>IF(Formula!I36*$I$7&lt;=Formula!H36,Formula!H36,IF(Formula!I36*$I$7&gt;=Formula!J36,Formula!J36,Formula!I36*$I$7))</f>
        <v>0</v>
      </c>
      <c r="I37" s="46" t="s">
        <v>5</v>
      </c>
      <c r="J37" s="46"/>
      <c r="K37" s="112"/>
      <c r="L37" s="46" t="s">
        <v>5</v>
      </c>
      <c r="M37" s="163"/>
    </row>
    <row r="38" spans="2:13" x14ac:dyDescent="0.25">
      <c r="B38" s="162"/>
      <c r="C38" s="46" t="s">
        <v>115</v>
      </c>
      <c r="D38" s="46"/>
      <c r="E38" s="46"/>
      <c r="F38" s="46"/>
      <c r="G38" s="46"/>
      <c r="H38" s="46">
        <f>IF(Formula!I37*$I$7&lt;=Formula!H37,Formula!H37,IF(Formula!I37*$I$7&gt;=Formula!J37,Formula!J37,Formula!I37*$I$7))</f>
        <v>0</v>
      </c>
      <c r="I38" s="46" t="s">
        <v>5</v>
      </c>
      <c r="J38" s="46"/>
      <c r="K38" s="112"/>
      <c r="L38" s="46" t="s">
        <v>5</v>
      </c>
      <c r="M38" s="163"/>
    </row>
    <row r="39" spans="2:13" x14ac:dyDescent="0.25">
      <c r="B39" s="162"/>
      <c r="C39" s="46" t="s">
        <v>116</v>
      </c>
      <c r="D39" s="46"/>
      <c r="E39" s="46"/>
      <c r="F39" s="46"/>
      <c r="G39" s="46"/>
      <c r="H39" s="46">
        <f>IF(Formula!I38*$I$7&lt;=Formula!H38,Formula!H38,IF(Formula!I38*$I$7&gt;=Formula!J38,Formula!J38,Formula!I38*$I$7))</f>
        <v>0</v>
      </c>
      <c r="I39" s="46" t="s">
        <v>5</v>
      </c>
      <c r="J39" s="46"/>
      <c r="K39" s="112"/>
      <c r="L39" s="46" t="s">
        <v>5</v>
      </c>
      <c r="M39" s="163"/>
    </row>
    <row r="40" spans="2:13" x14ac:dyDescent="0.25">
      <c r="B40" s="162"/>
      <c r="C40" s="46"/>
      <c r="D40" s="46"/>
      <c r="E40" s="46"/>
      <c r="F40" s="46"/>
      <c r="G40" s="46"/>
      <c r="H40" s="46"/>
      <c r="I40" s="46"/>
      <c r="J40" s="46"/>
      <c r="K40" s="113"/>
      <c r="L40" s="46"/>
      <c r="M40" s="163"/>
    </row>
    <row r="41" spans="2:13" x14ac:dyDescent="0.25">
      <c r="B41" s="162"/>
      <c r="C41" s="111" t="s">
        <v>117</v>
      </c>
      <c r="D41" s="46"/>
      <c r="E41" s="46"/>
      <c r="F41" s="46"/>
      <c r="G41" s="46"/>
      <c r="H41" s="46"/>
      <c r="I41" s="46"/>
      <c r="J41" s="46"/>
      <c r="K41" s="113"/>
      <c r="L41" s="46"/>
      <c r="M41" s="163"/>
    </row>
    <row r="42" spans="2:13" x14ac:dyDescent="0.25">
      <c r="B42" s="162"/>
      <c r="C42" s="46" t="s">
        <v>118</v>
      </c>
      <c r="D42" s="46"/>
      <c r="E42" s="46"/>
      <c r="F42" s="46"/>
      <c r="G42" s="46"/>
      <c r="H42" s="46">
        <f>IF(Formula!I40*$I$7&lt;=Formula!H40,Formula!H40,IF(Formula!I40*$I$7&gt;=Formula!J40,Formula!J40,Formula!I40*$I$7))</f>
        <v>0</v>
      </c>
      <c r="I42" s="46" t="s">
        <v>5</v>
      </c>
      <c r="J42" s="46"/>
      <c r="K42" s="112"/>
      <c r="L42" s="46" t="s">
        <v>5</v>
      </c>
      <c r="M42" s="163"/>
    </row>
    <row r="43" spans="2:13" x14ac:dyDescent="0.25">
      <c r="B43" s="162"/>
      <c r="C43" s="46" t="s">
        <v>119</v>
      </c>
      <c r="D43" s="46"/>
      <c r="E43" s="46"/>
      <c r="F43" s="46"/>
      <c r="G43" s="46"/>
      <c r="H43" s="46">
        <f>IF(Formula!I41*$I$7&lt;=Formula!H41,Formula!H41,IF(Formula!I41*$I$7&gt;=Formula!J41,Formula!J41,Formula!I41*$I$7))</f>
        <v>0</v>
      </c>
      <c r="I43" s="46" t="s">
        <v>5</v>
      </c>
      <c r="J43" s="46"/>
      <c r="K43" s="112"/>
      <c r="L43" s="46" t="s">
        <v>5</v>
      </c>
      <c r="M43" s="163"/>
    </row>
    <row r="44" spans="2:13" x14ac:dyDescent="0.25">
      <c r="B44" s="162"/>
      <c r="C44" s="46" t="s">
        <v>120</v>
      </c>
      <c r="D44" s="46"/>
      <c r="E44" s="46"/>
      <c r="F44" s="46"/>
      <c r="G44" s="46"/>
      <c r="H44" s="46">
        <f>IF(Formula!I42*$I$7&lt;=Formula!H42,Formula!H42,IF(Formula!I42*$I$7&gt;=Formula!J42,Formula!J42,Formula!I42*$I$7))</f>
        <v>0</v>
      </c>
      <c r="I44" s="46" t="s">
        <v>5</v>
      </c>
      <c r="J44" s="46"/>
      <c r="K44" s="112"/>
      <c r="L44" s="46" t="s">
        <v>5</v>
      </c>
      <c r="M44" s="163"/>
    </row>
    <row r="45" spans="2:13" x14ac:dyDescent="0.25">
      <c r="B45" s="162"/>
      <c r="C45" s="46" t="s">
        <v>121</v>
      </c>
      <c r="D45" s="46"/>
      <c r="E45" s="46"/>
      <c r="F45" s="46"/>
      <c r="G45" s="46"/>
      <c r="H45" s="46">
        <f>IF(Formula!I43*$I$7&lt;=Formula!H43,Formula!H43,IF(Formula!I43*$I$7&gt;=Formula!J43,Formula!J43,Formula!I43*$I$7))</f>
        <v>0</v>
      </c>
      <c r="I45" s="46" t="s">
        <v>5</v>
      </c>
      <c r="J45" s="46"/>
      <c r="K45" s="112"/>
      <c r="L45" s="46" t="s">
        <v>5</v>
      </c>
      <c r="M45" s="163"/>
    </row>
    <row r="46" spans="2:13" x14ac:dyDescent="0.25">
      <c r="B46" s="162"/>
      <c r="C46" s="46"/>
      <c r="D46" s="46"/>
      <c r="E46" s="46"/>
      <c r="F46" s="46"/>
      <c r="G46" s="46"/>
      <c r="H46" s="46"/>
      <c r="I46" s="46"/>
      <c r="J46" s="46"/>
      <c r="K46" s="113"/>
      <c r="L46" s="46"/>
      <c r="M46" s="163"/>
    </row>
    <row r="47" spans="2:13" x14ac:dyDescent="0.25">
      <c r="B47" s="162"/>
      <c r="C47" s="111" t="s">
        <v>122</v>
      </c>
      <c r="D47" s="46"/>
      <c r="E47" s="46"/>
      <c r="F47" s="46"/>
      <c r="G47" s="46"/>
      <c r="H47" s="46"/>
      <c r="I47" s="46"/>
      <c r="J47" s="46"/>
      <c r="K47" s="113"/>
      <c r="L47" s="46"/>
      <c r="M47" s="163"/>
    </row>
    <row r="48" spans="2:13" x14ac:dyDescent="0.25">
      <c r="B48" s="162"/>
      <c r="C48" s="46" t="s">
        <v>123</v>
      </c>
      <c r="D48" s="46"/>
      <c r="E48" s="46"/>
      <c r="F48" s="46"/>
      <c r="G48" s="46"/>
      <c r="H48" s="46">
        <f>IF(Formula!I45*$I$7&lt;=Formula!H45,Formula!H45,IF(Formula!I45*$I$7&gt;=Formula!J45,Formula!J45,Formula!I45*$I$7))</f>
        <v>0</v>
      </c>
      <c r="I48" s="46" t="s">
        <v>5</v>
      </c>
      <c r="J48" s="46"/>
      <c r="K48" s="112"/>
      <c r="L48" s="46" t="s">
        <v>5</v>
      </c>
      <c r="M48" s="163"/>
    </row>
    <row r="49" spans="2:13" x14ac:dyDescent="0.25">
      <c r="B49" s="162"/>
      <c r="C49" s="46" t="s">
        <v>124</v>
      </c>
      <c r="D49" s="46"/>
      <c r="E49" s="46"/>
      <c r="F49" s="46"/>
      <c r="G49" s="46"/>
      <c r="H49" s="46">
        <f>IF(Formula!I46*$I$7&lt;=Formula!H46,Formula!H46,IF(Formula!I46*$I$7&gt;=Formula!J46,Formula!J46,Formula!I46*$I$7))</f>
        <v>0</v>
      </c>
      <c r="I49" s="46" t="s">
        <v>5</v>
      </c>
      <c r="J49" s="46"/>
      <c r="K49" s="112"/>
      <c r="L49" s="46" t="s">
        <v>5</v>
      </c>
      <c r="M49" s="163"/>
    </row>
    <row r="50" spans="2:13" x14ac:dyDescent="0.25">
      <c r="B50" s="162"/>
      <c r="C50" s="46" t="s">
        <v>125</v>
      </c>
      <c r="D50" s="46"/>
      <c r="E50" s="46"/>
      <c r="F50" s="46"/>
      <c r="G50" s="46"/>
      <c r="H50" s="46">
        <f>IF(Formula!I47*$I$7&lt;=Formula!H47,Formula!H47,IF(Formula!I47*$I$7&gt;=Formula!J47,Formula!J47,Formula!I47*$I$7))</f>
        <v>0</v>
      </c>
      <c r="I50" s="46" t="s">
        <v>5</v>
      </c>
      <c r="J50" s="46"/>
      <c r="K50" s="112"/>
      <c r="L50" s="46" t="s">
        <v>5</v>
      </c>
      <c r="M50" s="163"/>
    </row>
    <row r="51" spans="2:13" x14ac:dyDescent="0.25">
      <c r="B51" s="162"/>
      <c r="C51" s="46" t="s">
        <v>126</v>
      </c>
      <c r="D51" s="46"/>
      <c r="E51" s="46"/>
      <c r="F51" s="46"/>
      <c r="G51" s="46"/>
      <c r="H51" s="46">
        <f>IF(Formula!I48*$I$7&lt;=Formula!H48,Formula!H48,IF(Formula!I48*$I$7&gt;=Formula!J48,Formula!J48,Formula!I48*$I$7))</f>
        <v>0</v>
      </c>
      <c r="I51" s="46" t="s">
        <v>5</v>
      </c>
      <c r="J51" s="46"/>
      <c r="K51" s="112"/>
      <c r="L51" s="46" t="s">
        <v>5</v>
      </c>
      <c r="M51" s="163"/>
    </row>
    <row r="52" spans="2:13" x14ac:dyDescent="0.25">
      <c r="B52" s="162"/>
      <c r="C52" s="46"/>
      <c r="D52" s="46"/>
      <c r="E52" s="46"/>
      <c r="F52" s="46"/>
      <c r="G52" s="46"/>
      <c r="H52" s="46"/>
      <c r="I52" s="46"/>
      <c r="J52" s="46"/>
      <c r="K52" s="113"/>
      <c r="L52" s="46"/>
      <c r="M52" s="163"/>
    </row>
    <row r="53" spans="2:13" x14ac:dyDescent="0.25">
      <c r="B53" s="162"/>
      <c r="C53" s="111" t="s">
        <v>127</v>
      </c>
      <c r="D53" s="46"/>
      <c r="E53" s="46"/>
      <c r="F53" s="46"/>
      <c r="G53" s="46"/>
      <c r="H53" s="46"/>
      <c r="I53" s="46"/>
      <c r="J53" s="46"/>
      <c r="K53" s="113"/>
      <c r="L53" s="46"/>
      <c r="M53" s="163"/>
    </row>
    <row r="54" spans="2:13" x14ac:dyDescent="0.25">
      <c r="B54" s="162"/>
      <c r="C54" s="46" t="s">
        <v>128</v>
      </c>
      <c r="D54" s="46"/>
      <c r="E54" s="46"/>
      <c r="F54" s="46"/>
      <c r="G54" s="46"/>
      <c r="H54" s="46">
        <f>IF(Formula!I50*$I$7&lt;=Formula!H50,Formula!H50,IF(Formula!I50*$I$7&gt;=Formula!J50,Formula!J50,Formula!I50*$I$7))</f>
        <v>0</v>
      </c>
      <c r="I54" s="46" t="s">
        <v>5</v>
      </c>
      <c r="J54" s="46"/>
      <c r="K54" s="112"/>
      <c r="L54" s="46" t="s">
        <v>5</v>
      </c>
      <c r="M54" s="163"/>
    </row>
    <row r="55" spans="2:13" x14ac:dyDescent="0.25">
      <c r="B55" s="162"/>
      <c r="C55" s="46" t="s">
        <v>129</v>
      </c>
      <c r="D55" s="46"/>
      <c r="E55" s="46"/>
      <c r="F55" s="46"/>
      <c r="G55" s="46"/>
      <c r="H55" s="46">
        <f>IF(Formula!I51*$I$7&lt;=Formula!H51,Formula!H51,IF(Formula!I51*$I$7&gt;=Formula!J51,Formula!J51,Formula!I51*$I$7))</f>
        <v>0</v>
      </c>
      <c r="I55" s="46" t="s">
        <v>5</v>
      </c>
      <c r="J55" s="46"/>
      <c r="K55" s="112"/>
      <c r="L55" s="46" t="s">
        <v>5</v>
      </c>
      <c r="M55" s="163"/>
    </row>
    <row r="56" spans="2:13" x14ac:dyDescent="0.25">
      <c r="B56" s="162"/>
      <c r="C56" s="46" t="s">
        <v>130</v>
      </c>
      <c r="D56" s="46"/>
      <c r="E56" s="46"/>
      <c r="F56" s="46"/>
      <c r="G56" s="46"/>
      <c r="H56" s="46">
        <f>IF(Formula!I52*$I$7&lt;=Formula!H52,Formula!H52,IF(Formula!I52*$I$7&gt;=Formula!J52,Formula!J52,Formula!I52*$I$7))</f>
        <v>0</v>
      </c>
      <c r="I56" s="46" t="s">
        <v>5</v>
      </c>
      <c r="J56" s="46"/>
      <c r="K56" s="112"/>
      <c r="L56" s="46" t="s">
        <v>5</v>
      </c>
      <c r="M56" s="163"/>
    </row>
    <row r="57" spans="2:13" x14ac:dyDescent="0.25">
      <c r="B57" s="162"/>
      <c r="C57" s="46" t="s">
        <v>131</v>
      </c>
      <c r="D57" s="46"/>
      <c r="E57" s="46"/>
      <c r="F57" s="46"/>
      <c r="G57" s="46"/>
      <c r="H57" s="46">
        <f>IF(Formula!I53*$I$7&lt;=Formula!H53,Formula!H53,IF(Formula!I53*$I$7&gt;=Formula!J53,Formula!J53,Formula!I53*$I$7))</f>
        <v>0</v>
      </c>
      <c r="I57" s="46" t="s">
        <v>5</v>
      </c>
      <c r="J57" s="46"/>
      <c r="K57" s="112"/>
      <c r="L57" s="46" t="s">
        <v>5</v>
      </c>
      <c r="M57" s="163"/>
    </row>
    <row r="58" spans="2:13" x14ac:dyDescent="0.25">
      <c r="B58" s="162"/>
      <c r="C58" s="46"/>
      <c r="D58" s="46"/>
      <c r="E58" s="46"/>
      <c r="F58" s="46"/>
      <c r="G58" s="46"/>
      <c r="H58" s="46"/>
      <c r="I58" s="46"/>
      <c r="J58" s="46"/>
      <c r="K58" s="113"/>
      <c r="L58" s="46"/>
      <c r="M58" s="163"/>
    </row>
    <row r="59" spans="2:13" x14ac:dyDescent="0.25">
      <c r="B59" s="162"/>
      <c r="C59" s="111" t="s">
        <v>132</v>
      </c>
      <c r="D59" s="46"/>
      <c r="E59" s="46"/>
      <c r="F59" s="46"/>
      <c r="G59" s="46"/>
      <c r="H59" s="46"/>
      <c r="I59" s="46"/>
      <c r="J59" s="46"/>
      <c r="K59" s="113"/>
      <c r="L59" s="46"/>
      <c r="M59" s="163"/>
    </row>
    <row r="60" spans="2:13" x14ac:dyDescent="0.25">
      <c r="B60" s="162"/>
      <c r="C60" s="46" t="s">
        <v>133</v>
      </c>
      <c r="D60" s="46"/>
      <c r="E60" s="46"/>
      <c r="F60" s="46"/>
      <c r="G60" s="46"/>
      <c r="H60" s="46">
        <f>IF(Formula!I55*$I$7&lt;=Formula!H55,Formula!H55,IF(Formula!I55*$I$7&gt;=Formula!J55,Formula!J55,Formula!I55*$I$7))</f>
        <v>0</v>
      </c>
      <c r="I60" s="46" t="s">
        <v>5</v>
      </c>
      <c r="J60" s="46"/>
      <c r="K60" s="112"/>
      <c r="L60" s="46" t="s">
        <v>5</v>
      </c>
      <c r="M60" s="163"/>
    </row>
    <row r="61" spans="2:13" x14ac:dyDescent="0.25">
      <c r="B61" s="162"/>
      <c r="C61" s="46" t="s">
        <v>134</v>
      </c>
      <c r="D61" s="46"/>
      <c r="E61" s="46"/>
      <c r="F61" s="46"/>
      <c r="G61" s="46"/>
      <c r="H61" s="46">
        <f>IF(Formula!I56*$I$7&lt;=Formula!H56,Formula!H56,IF(Formula!I56*$I$7&gt;=Formula!J56,Formula!J56,Formula!I56*$I$7))</f>
        <v>0</v>
      </c>
      <c r="I61" s="46" t="s">
        <v>5</v>
      </c>
      <c r="J61" s="46"/>
      <c r="K61" s="112"/>
      <c r="L61" s="46" t="s">
        <v>5</v>
      </c>
      <c r="M61" s="163"/>
    </row>
    <row r="62" spans="2:13" x14ac:dyDescent="0.25">
      <c r="B62" s="162"/>
      <c r="C62" s="46" t="s">
        <v>135</v>
      </c>
      <c r="D62" s="46"/>
      <c r="E62" s="46"/>
      <c r="F62" s="46"/>
      <c r="G62" s="46"/>
      <c r="H62" s="46">
        <f>IF(Formula!I57*$I$7&lt;=Formula!H57,Formula!H57,IF(Formula!I57*$I$7&gt;=Formula!J57,Formula!J57,Formula!I57*$I$7))</f>
        <v>0</v>
      </c>
      <c r="I62" s="46" t="s">
        <v>5</v>
      </c>
      <c r="J62" s="46"/>
      <c r="K62" s="112"/>
      <c r="L62" s="46" t="s">
        <v>5</v>
      </c>
      <c r="M62" s="163"/>
    </row>
    <row r="63" spans="2:13" x14ac:dyDescent="0.25">
      <c r="B63" s="162"/>
      <c r="C63" s="46" t="s">
        <v>136</v>
      </c>
      <c r="D63" s="46"/>
      <c r="E63" s="46"/>
      <c r="F63" s="46"/>
      <c r="G63" s="46"/>
      <c r="H63" s="46">
        <f>IF(Formula!I58*$I$7&lt;=Formula!H58,Formula!H58,IF(Formula!I58*$I$7&gt;=Formula!J58,Formula!J58,Formula!I58*$I$7))</f>
        <v>0</v>
      </c>
      <c r="I63" s="46" t="s">
        <v>5</v>
      </c>
      <c r="J63" s="46"/>
      <c r="K63" s="112"/>
      <c r="L63" s="46" t="s">
        <v>5</v>
      </c>
      <c r="M63" s="163"/>
    </row>
    <row r="64" spans="2:13" x14ac:dyDescent="0.25">
      <c r="B64" s="162"/>
      <c r="C64" s="46" t="s">
        <v>137</v>
      </c>
      <c r="D64" s="46"/>
      <c r="E64" s="46"/>
      <c r="F64" s="46"/>
      <c r="G64" s="46"/>
      <c r="H64" s="46">
        <f>IF(Formula!I59*$I$7&lt;=Formula!H59,Formula!H59,IF(Formula!I59*$I$7&gt;=Formula!J59,Formula!J59,Formula!I59*$I$7))</f>
        <v>0</v>
      </c>
      <c r="I64" s="46" t="s">
        <v>5</v>
      </c>
      <c r="J64" s="46"/>
      <c r="K64" s="112"/>
      <c r="L64" s="46" t="s">
        <v>5</v>
      </c>
      <c r="M64" s="163"/>
    </row>
    <row r="65" spans="2:13" x14ac:dyDescent="0.25">
      <c r="B65" s="162"/>
      <c r="C65" s="46" t="s">
        <v>138</v>
      </c>
      <c r="D65" s="46"/>
      <c r="E65" s="46"/>
      <c r="F65" s="46"/>
      <c r="G65" s="46"/>
      <c r="H65" s="46">
        <f>IF(Formula!I60*$I$7&lt;=Formula!H60,Formula!H60,IF(Formula!I60*$I$7&gt;=Formula!J60,Formula!J60,Formula!I60*$I$7))</f>
        <v>0</v>
      </c>
      <c r="I65" s="46" t="s">
        <v>5</v>
      </c>
      <c r="J65" s="46"/>
      <c r="K65" s="112"/>
      <c r="L65" s="46" t="s">
        <v>5</v>
      </c>
      <c r="M65" s="163"/>
    </row>
    <row r="66" spans="2:13" x14ac:dyDescent="0.25">
      <c r="B66" s="162"/>
      <c r="C66" s="46" t="s">
        <v>139</v>
      </c>
      <c r="D66" s="46"/>
      <c r="E66" s="46"/>
      <c r="F66" s="46"/>
      <c r="G66" s="46"/>
      <c r="H66" s="46">
        <f>IF(Formula!I61*$I$7&lt;=Formula!H61,Formula!H61,IF(Formula!I61*$I$7&gt;=Formula!J61,Formula!J61,Formula!I61*$I$7))</f>
        <v>0</v>
      </c>
      <c r="I66" s="46" t="s">
        <v>5</v>
      </c>
      <c r="J66" s="46"/>
      <c r="K66" s="112"/>
      <c r="L66" s="46" t="s">
        <v>5</v>
      </c>
      <c r="M66" s="163"/>
    </row>
    <row r="67" spans="2:13" x14ac:dyDescent="0.25">
      <c r="B67" s="162"/>
      <c r="C67" s="46" t="s">
        <v>140</v>
      </c>
      <c r="D67" s="46"/>
      <c r="E67" s="46"/>
      <c r="F67" s="46"/>
      <c r="G67" s="46"/>
      <c r="H67" s="46">
        <f>IF(Formula!I62*$I$7&lt;=Formula!H62,Formula!H62,IF(Formula!I62*$I$7&gt;=Formula!J62,Formula!J62,Formula!I62*$I$7))</f>
        <v>0</v>
      </c>
      <c r="I67" s="46" t="s">
        <v>5</v>
      </c>
      <c r="J67" s="46"/>
      <c r="K67" s="112"/>
      <c r="L67" s="46" t="s">
        <v>5</v>
      </c>
      <c r="M67" s="163"/>
    </row>
    <row r="68" spans="2:13" x14ac:dyDescent="0.25">
      <c r="B68" s="162"/>
      <c r="C68" s="46"/>
      <c r="D68" s="46"/>
      <c r="E68" s="46"/>
      <c r="F68" s="46"/>
      <c r="G68" s="46"/>
      <c r="H68" s="46"/>
      <c r="I68" s="46"/>
      <c r="J68" s="46"/>
      <c r="K68" s="113"/>
      <c r="L68" s="46"/>
      <c r="M68" s="163"/>
    </row>
    <row r="69" spans="2:13" x14ac:dyDescent="0.25">
      <c r="B69" s="162"/>
      <c r="C69" s="111" t="s">
        <v>141</v>
      </c>
      <c r="D69" s="46"/>
      <c r="E69" s="46"/>
      <c r="F69" s="46"/>
      <c r="G69" s="46"/>
      <c r="H69" s="46"/>
      <c r="I69" s="46"/>
      <c r="J69" s="46"/>
      <c r="K69" s="113"/>
      <c r="L69" s="46"/>
      <c r="M69" s="163"/>
    </row>
    <row r="70" spans="2:13" x14ac:dyDescent="0.25">
      <c r="B70" s="162"/>
      <c r="C70" s="46" t="s">
        <v>45</v>
      </c>
      <c r="D70" s="46"/>
      <c r="E70" s="46"/>
      <c r="F70" s="46"/>
      <c r="G70" s="46"/>
      <c r="H70" s="46">
        <f>IF(Formula!I64*$I$7&lt;=Formula!H64,Formula!H64,IF(Formula!I64*$I$7&gt;=Formula!J64,Formula!J64,Formula!I64*$I$7))</f>
        <v>0</v>
      </c>
      <c r="I70" s="46" t="s">
        <v>5</v>
      </c>
      <c r="J70" s="46"/>
      <c r="K70" s="112"/>
      <c r="L70" s="46" t="s">
        <v>5</v>
      </c>
      <c r="M70" s="163"/>
    </row>
    <row r="71" spans="2:13" x14ac:dyDescent="0.25">
      <c r="B71" s="162"/>
      <c r="C71" s="46" t="s">
        <v>142</v>
      </c>
      <c r="D71" s="46"/>
      <c r="E71" s="46"/>
      <c r="F71" s="46"/>
      <c r="G71" s="46"/>
      <c r="H71" s="46">
        <f>IF(Formula!I65*$I$7&lt;=Formula!H65,Formula!H65,IF(Formula!I65*$I$7&gt;=Formula!J65,Formula!J65,Formula!I65*$I$7))</f>
        <v>0</v>
      </c>
      <c r="I71" s="46" t="s">
        <v>5</v>
      </c>
      <c r="J71" s="46"/>
      <c r="K71" s="112"/>
      <c r="L71" s="46" t="s">
        <v>5</v>
      </c>
      <c r="M71" s="163"/>
    </row>
    <row r="72" spans="2:13" x14ac:dyDescent="0.25">
      <c r="B72" s="162"/>
      <c r="C72" s="46" t="s">
        <v>143</v>
      </c>
      <c r="D72" s="46"/>
      <c r="E72" s="46"/>
      <c r="F72" s="46"/>
      <c r="G72" s="46"/>
      <c r="H72" s="46">
        <f>IF(Formula!I66*$I$7&lt;=Formula!H66,Formula!H66,IF(Formula!I66*$I$7&gt;=Formula!J66,Formula!J66,Formula!I66*$I$7))</f>
        <v>0</v>
      </c>
      <c r="I72" s="46" t="s">
        <v>5</v>
      </c>
      <c r="J72" s="46"/>
      <c r="K72" s="112"/>
      <c r="L72" s="46" t="s">
        <v>5</v>
      </c>
      <c r="M72" s="163"/>
    </row>
    <row r="73" spans="2:13" x14ac:dyDescent="0.25">
      <c r="B73" s="162"/>
      <c r="C73" s="46" t="s">
        <v>144</v>
      </c>
      <c r="D73" s="46"/>
      <c r="E73" s="46"/>
      <c r="F73" s="46"/>
      <c r="G73" s="46"/>
      <c r="H73" s="46">
        <f>IF(Formula!I67*$I$7&lt;=Formula!H67,Formula!H67,IF(Formula!I67*$I$7&gt;=Formula!J67,Formula!J67,Formula!I67*$I$7))</f>
        <v>0</v>
      </c>
      <c r="I73" s="46" t="s">
        <v>5</v>
      </c>
      <c r="J73" s="46"/>
      <c r="K73" s="112"/>
      <c r="L73" s="46" t="s">
        <v>5</v>
      </c>
      <c r="M73" s="163"/>
    </row>
    <row r="74" spans="2:13" ht="15.75" thickBot="1" x14ac:dyDescent="0.3">
      <c r="B74" s="162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163"/>
    </row>
    <row r="75" spans="2:13" ht="22.5" customHeight="1" thickTop="1" thickBot="1" x14ac:dyDescent="0.3">
      <c r="B75" s="162"/>
      <c r="C75" s="274" t="s">
        <v>163</v>
      </c>
      <c r="D75" s="274"/>
      <c r="E75" s="274"/>
      <c r="F75" s="274"/>
      <c r="G75" s="274"/>
      <c r="H75" s="274"/>
      <c r="I75" s="274"/>
      <c r="J75" s="107"/>
      <c r="K75" s="200">
        <f>SUM(K36:K73)</f>
        <v>0</v>
      </c>
      <c r="L75" s="178" t="s">
        <v>5</v>
      </c>
      <c r="M75" s="163"/>
    </row>
    <row r="76" spans="2:13" ht="15.75" thickTop="1" x14ac:dyDescent="0.25">
      <c r="B76" s="162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63"/>
    </row>
    <row r="77" spans="2:13" ht="17.25" customHeight="1" x14ac:dyDescent="0.25">
      <c r="B77" s="162"/>
      <c r="C77" s="115" t="s">
        <v>145</v>
      </c>
      <c r="D77" s="114"/>
      <c r="E77" s="114"/>
      <c r="F77" s="114"/>
      <c r="G77" s="251" t="s">
        <v>161</v>
      </c>
      <c r="H77" s="251"/>
      <c r="I77" s="251" t="s">
        <v>162</v>
      </c>
      <c r="J77" s="251"/>
      <c r="K77" s="251" t="s">
        <v>151</v>
      </c>
      <c r="L77" s="251"/>
      <c r="M77" s="163"/>
    </row>
    <row r="78" spans="2:13" x14ac:dyDescent="0.25">
      <c r="B78" s="162"/>
      <c r="C78" s="46" t="s">
        <v>146</v>
      </c>
      <c r="D78" s="46"/>
      <c r="E78" s="46"/>
      <c r="F78" s="46"/>
      <c r="G78" s="256"/>
      <c r="H78" s="256"/>
      <c r="I78" s="256"/>
      <c r="J78" s="256"/>
      <c r="K78" s="258">
        <f>Formula!I69</f>
        <v>1.5</v>
      </c>
      <c r="L78" s="258"/>
      <c r="M78" s="163"/>
    </row>
    <row r="79" spans="2:13" x14ac:dyDescent="0.25">
      <c r="B79" s="162"/>
      <c r="C79" s="46" t="s">
        <v>147</v>
      </c>
      <c r="D79" s="46"/>
      <c r="E79" s="46"/>
      <c r="F79" s="46"/>
      <c r="G79" s="256"/>
      <c r="H79" s="256"/>
      <c r="I79" s="256"/>
      <c r="J79" s="256"/>
      <c r="K79" s="258">
        <f>Formula!I70</f>
        <v>2</v>
      </c>
      <c r="L79" s="258"/>
      <c r="M79" s="163"/>
    </row>
    <row r="80" spans="2:13" x14ac:dyDescent="0.25">
      <c r="B80" s="162"/>
      <c r="C80" s="46" t="s">
        <v>148</v>
      </c>
      <c r="D80" s="46"/>
      <c r="E80" s="46"/>
      <c r="F80" s="46"/>
      <c r="G80" s="256"/>
      <c r="H80" s="256"/>
      <c r="I80" s="256"/>
      <c r="J80" s="256"/>
      <c r="K80" s="258">
        <f>Formula!I71</f>
        <v>3</v>
      </c>
      <c r="L80" s="258"/>
      <c r="M80" s="163"/>
    </row>
    <row r="81" spans="2:13" x14ac:dyDescent="0.25">
      <c r="B81" s="162"/>
      <c r="C81" s="46" t="s">
        <v>149</v>
      </c>
      <c r="D81" s="46"/>
      <c r="E81" s="46"/>
      <c r="F81" s="46"/>
      <c r="G81" s="256"/>
      <c r="H81" s="256"/>
      <c r="I81" s="256"/>
      <c r="J81" s="256"/>
      <c r="K81" s="258">
        <f>Formula!I72</f>
        <v>2</v>
      </c>
      <c r="L81" s="258"/>
      <c r="M81" s="163"/>
    </row>
    <row r="82" spans="2:13" x14ac:dyDescent="0.25">
      <c r="B82" s="162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163"/>
    </row>
    <row r="83" spans="2:13" x14ac:dyDescent="0.25">
      <c r="B83" s="162"/>
      <c r="C83" s="283"/>
      <c r="D83" s="283"/>
      <c r="E83" s="283"/>
      <c r="F83" s="283"/>
      <c r="G83" s="283"/>
      <c r="H83" s="246" t="s">
        <v>190</v>
      </c>
      <c r="I83" s="246"/>
      <c r="J83" s="246"/>
      <c r="K83" s="246" t="s">
        <v>191</v>
      </c>
      <c r="L83" s="246"/>
      <c r="M83" s="163"/>
    </row>
    <row r="84" spans="2:13" x14ac:dyDescent="0.25">
      <c r="B84" s="162"/>
      <c r="C84" s="46" t="s">
        <v>146</v>
      </c>
      <c r="D84" s="46"/>
      <c r="E84" s="46"/>
      <c r="F84" s="46"/>
      <c r="G84" s="46"/>
      <c r="H84" s="46"/>
      <c r="I84" s="46">
        <f>G78*I78*K78</f>
        <v>0</v>
      </c>
      <c r="J84" s="46" t="s">
        <v>5</v>
      </c>
      <c r="K84" s="132"/>
      <c r="L84" s="46" t="s">
        <v>5</v>
      </c>
      <c r="M84" s="163"/>
    </row>
    <row r="85" spans="2:13" x14ac:dyDescent="0.25">
      <c r="B85" s="162"/>
      <c r="C85" s="46" t="s">
        <v>147</v>
      </c>
      <c r="D85" s="46"/>
      <c r="E85" s="46"/>
      <c r="F85" s="46"/>
      <c r="G85" s="46"/>
      <c r="H85" s="46"/>
      <c r="I85" s="46">
        <f t="shared" ref="I85:I87" si="2">G79*I79*K79</f>
        <v>0</v>
      </c>
      <c r="J85" s="46" t="s">
        <v>5</v>
      </c>
      <c r="K85" s="132"/>
      <c r="L85" s="46" t="s">
        <v>5</v>
      </c>
      <c r="M85" s="163"/>
    </row>
    <row r="86" spans="2:13" x14ac:dyDescent="0.25">
      <c r="B86" s="162"/>
      <c r="C86" s="46" t="s">
        <v>148</v>
      </c>
      <c r="D86" s="46"/>
      <c r="E86" s="46"/>
      <c r="F86" s="46"/>
      <c r="G86" s="46"/>
      <c r="H86" s="46"/>
      <c r="I86" s="46">
        <f t="shared" si="2"/>
        <v>0</v>
      </c>
      <c r="J86" s="46" t="s">
        <v>5</v>
      </c>
      <c r="K86" s="132"/>
      <c r="L86" s="46" t="s">
        <v>5</v>
      </c>
      <c r="M86" s="163"/>
    </row>
    <row r="87" spans="2:13" ht="15.75" thickBot="1" x14ac:dyDescent="0.3">
      <c r="B87" s="162"/>
      <c r="C87" s="46" t="s">
        <v>149</v>
      </c>
      <c r="D87" s="46"/>
      <c r="E87" s="46"/>
      <c r="F87" s="46"/>
      <c r="G87" s="46"/>
      <c r="H87" s="46"/>
      <c r="I87" s="46">
        <f t="shared" si="2"/>
        <v>0</v>
      </c>
      <c r="J87" s="46" t="s">
        <v>5</v>
      </c>
      <c r="K87" s="132"/>
      <c r="L87" s="46" t="s">
        <v>5</v>
      </c>
      <c r="M87" s="163"/>
    </row>
    <row r="88" spans="2:13" ht="22.5" thickTop="1" thickBot="1" x14ac:dyDescent="0.3">
      <c r="B88" s="162"/>
      <c r="C88" s="274" t="s">
        <v>164</v>
      </c>
      <c r="D88" s="274"/>
      <c r="E88" s="274"/>
      <c r="F88" s="274"/>
      <c r="G88" s="274"/>
      <c r="H88" s="275"/>
      <c r="I88" s="275"/>
      <c r="J88" s="178"/>
      <c r="K88" s="131">
        <f>SUM(K84:K87)</f>
        <v>0</v>
      </c>
      <c r="L88" s="178" t="s">
        <v>5</v>
      </c>
      <c r="M88" s="163"/>
    </row>
    <row r="89" spans="2:13" ht="15.75" thickTop="1" x14ac:dyDescent="0.25">
      <c r="B89" s="162"/>
      <c r="C89" s="123"/>
      <c r="D89" s="123"/>
      <c r="E89" s="123"/>
      <c r="F89" s="123"/>
      <c r="G89" s="123"/>
      <c r="H89" s="123"/>
      <c r="I89" s="46"/>
      <c r="J89" s="46"/>
      <c r="K89" s="46"/>
      <c r="L89" s="46"/>
      <c r="M89" s="163"/>
    </row>
    <row r="90" spans="2:13" ht="18.75" x14ac:dyDescent="0.3">
      <c r="B90" s="162"/>
      <c r="C90" s="140" t="s">
        <v>174</v>
      </c>
      <c r="D90" s="140"/>
      <c r="E90" s="140"/>
      <c r="F90" s="140">
        <f>SUM(K21,K33,K75,K88)</f>
        <v>0</v>
      </c>
      <c r="G90" s="140" t="s">
        <v>5</v>
      </c>
      <c r="H90" s="46"/>
      <c r="I90" s="46"/>
      <c r="J90" s="46"/>
      <c r="K90" s="46"/>
      <c r="L90" s="46"/>
      <c r="M90" s="163"/>
    </row>
    <row r="91" spans="2:13" ht="26.25" x14ac:dyDescent="0.4">
      <c r="B91" s="192"/>
      <c r="C91" s="193"/>
      <c r="D91" s="193"/>
      <c r="E91" s="193"/>
      <c r="F91" s="193"/>
      <c r="G91" s="193"/>
      <c r="H91" s="194"/>
      <c r="I91" s="194"/>
      <c r="J91" s="194"/>
      <c r="K91" s="194"/>
      <c r="L91" s="194"/>
      <c r="M91" s="195"/>
    </row>
    <row r="92" spans="2:13" x14ac:dyDescent="0.25"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</row>
    <row r="93" spans="2:13" x14ac:dyDescent="0.25"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</row>
  </sheetData>
  <mergeCells count="50">
    <mergeCell ref="C17:F17"/>
    <mergeCell ref="C18:F18"/>
    <mergeCell ref="C19:E19"/>
    <mergeCell ref="K14:L14"/>
    <mergeCell ref="H14:J14"/>
    <mergeCell ref="H15:I15"/>
    <mergeCell ref="B2:M3"/>
    <mergeCell ref="C7:F7"/>
    <mergeCell ref="C8:F8"/>
    <mergeCell ref="I7:J7"/>
    <mergeCell ref="I8:J8"/>
    <mergeCell ref="K26:L27"/>
    <mergeCell ref="H23:J23"/>
    <mergeCell ref="K23:L23"/>
    <mergeCell ref="C23:G23"/>
    <mergeCell ref="H24:J24"/>
    <mergeCell ref="K35:L35"/>
    <mergeCell ref="G77:H77"/>
    <mergeCell ref="I77:J77"/>
    <mergeCell ref="K77:L77"/>
    <mergeCell ref="H33:I33"/>
    <mergeCell ref="G78:H78"/>
    <mergeCell ref="G79:H79"/>
    <mergeCell ref="G80:H80"/>
    <mergeCell ref="G81:H81"/>
    <mergeCell ref="I78:J78"/>
    <mergeCell ref="I79:J79"/>
    <mergeCell ref="I80:J80"/>
    <mergeCell ref="I81:J81"/>
    <mergeCell ref="K80:L80"/>
    <mergeCell ref="K81:L81"/>
    <mergeCell ref="C83:G83"/>
    <mergeCell ref="H83:J83"/>
    <mergeCell ref="K83:L83"/>
    <mergeCell ref="C88:G88"/>
    <mergeCell ref="H88:I88"/>
    <mergeCell ref="C75:I75"/>
    <mergeCell ref="F10:G10"/>
    <mergeCell ref="F26:F27"/>
    <mergeCell ref="H26:J27"/>
    <mergeCell ref="C33:G33"/>
    <mergeCell ref="C35:G35"/>
    <mergeCell ref="H35:J35"/>
    <mergeCell ref="C10:E10"/>
    <mergeCell ref="I10:K10"/>
    <mergeCell ref="H16:I16"/>
    <mergeCell ref="H21:I21"/>
    <mergeCell ref="C14:D14"/>
    <mergeCell ref="K78:L78"/>
    <mergeCell ref="K79:L79"/>
  </mergeCells>
  <conditionalFormatting sqref="E15">
    <cfRule type="cellIs" dxfId="1" priority="2" operator="between">
      <formula>0.00001</formula>
      <formula>0.9999999</formula>
    </cfRule>
  </conditionalFormatting>
  <conditionalFormatting sqref="F31:F32">
    <cfRule type="cellIs" dxfId="0" priority="1" operator="between">
      <formula>0.00001</formula>
      <formula>0.9999999</formula>
    </cfRule>
  </conditionalFormatting>
  <dataValidations count="6">
    <dataValidation type="custom" operator="equal" allowBlank="1" showErrorMessage="1" error="collection size percentages must total 100" sqref="E15" xr:uid="{CC72454D-8F09-4D5C-8D54-FD3D2E40B9FF}">
      <formula1>"OR(E15=""0"",E15=""1"")."</formula1>
    </dataValidation>
    <dataValidation type="whole" operator="greaterThanOrEqual" allowBlank="1" showInputMessage="1" showErrorMessage="1" promptTitle="Catchment Population" prompt="Enter the ten-year population forecast for the local catchment of the proposed Library." sqref="F10:G10" xr:uid="{786C2A22-C068-4E69-8BAF-CC2BBCD2EEC5}">
      <formula1>0</formula1>
    </dataValidation>
    <dataValidation type="whole" operator="greaterThanOrEqual" allowBlank="1" showInputMessage="1" showErrorMessage="1" promptTitle="Computers" prompt="This is the recommended number of computers based on your catchment population. If you require additional computers, please enter a new value here." sqref="L10" xr:uid="{03D51126-1A82-4199-B14E-55B357B0560D}">
      <formula1>0</formula1>
    </dataValidation>
    <dataValidation type="decimal" operator="greaterThanOrEqual" allowBlank="1" showInputMessage="1" showErrorMessage="1" promptTitle="Available GFA" prompt="Enter the available GFA here." sqref="I7:J7" xr:uid="{F5A556C9-C218-412E-88DE-98B34B61E219}">
      <formula1>0</formula1>
    </dataValidation>
    <dataValidation allowBlank="1" showInputMessage="1" showErrorMessage="1" promptTitle="Uncommitted GFA" prompt="This is the available GFA less your values entered below." sqref="I8:J8" xr:uid="{17FBF93A-05E9-4A2C-BC52-0912BB6039A3}"/>
    <dataValidation type="decimal" allowBlank="1" showInputMessage="1" showErrorMessage="1" promptTitle="Seating Percentage" prompt="These three items (desks, lounges and group study) must add to 100%" sqref="F28:F30" xr:uid="{07DE2079-4E88-42FB-81DC-7830123AD5B0}">
      <formula1>0</formula1>
      <formula2>100</formula2>
    </dataValidation>
  </dataValidations>
  <pageMargins left="0.7" right="0.7" top="0.75" bottom="0.75" header="0.3" footer="0.3"/>
  <pageSetup paperSize="256" orientation="portrait" horizontalDpi="203" verticalDpi="20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FC84A-81F6-4E12-A0F2-BB2377540071}">
  <dimension ref="B2:J72"/>
  <sheetViews>
    <sheetView showGridLines="0" workbookViewId="0">
      <selection activeCell="H18" sqref="H18"/>
    </sheetView>
  </sheetViews>
  <sheetFormatPr defaultRowHeight="15" x14ac:dyDescent="0.25"/>
  <cols>
    <col min="1" max="1" width="4.28515625" customWidth="1"/>
    <col min="2" max="2" width="27.28515625" bestFit="1" customWidth="1"/>
    <col min="3" max="3" width="23.85546875" bestFit="1" customWidth="1"/>
    <col min="4" max="4" width="20.7109375" customWidth="1"/>
    <col min="5" max="5" width="22.28515625" customWidth="1"/>
    <col min="7" max="7" width="39.85546875" bestFit="1" customWidth="1"/>
    <col min="8" max="8" width="9" bestFit="1" customWidth="1"/>
    <col min="9" max="9" width="21.140625" bestFit="1" customWidth="1"/>
    <col min="10" max="10" width="10.5703125" customWidth="1"/>
  </cols>
  <sheetData>
    <row r="2" spans="2:10" ht="18.75" x14ac:dyDescent="0.3">
      <c r="B2" s="299" t="s">
        <v>0</v>
      </c>
      <c r="C2" s="300"/>
      <c r="D2" s="300"/>
      <c r="E2" s="301"/>
      <c r="G2" s="299" t="s">
        <v>46</v>
      </c>
      <c r="H2" s="300"/>
      <c r="I2" s="300"/>
      <c r="J2" s="301"/>
    </row>
    <row r="3" spans="2:10" x14ac:dyDescent="0.25">
      <c r="B3" s="58"/>
      <c r="E3" s="59"/>
      <c r="G3" s="80"/>
      <c r="H3" s="81"/>
      <c r="I3" s="81"/>
      <c r="J3" s="82"/>
    </row>
    <row r="4" spans="2:10" ht="15.75" x14ac:dyDescent="0.25">
      <c r="B4" s="71" t="s">
        <v>6</v>
      </c>
      <c r="C4" s="67" t="s">
        <v>7</v>
      </c>
      <c r="D4" s="68" t="s">
        <v>8</v>
      </c>
      <c r="E4" s="72" t="s">
        <v>9</v>
      </c>
      <c r="F4" s="58"/>
      <c r="G4" s="302" t="s">
        <v>56</v>
      </c>
      <c r="H4" s="303"/>
      <c r="J4" s="59"/>
    </row>
    <row r="5" spans="2:10" x14ac:dyDescent="0.25">
      <c r="B5" s="66" t="s">
        <v>10</v>
      </c>
      <c r="C5" s="69">
        <v>69</v>
      </c>
      <c r="D5" s="64">
        <f>IF($C$8&lt;=15500,$C$5*$C$8,0)/1000</f>
        <v>0</v>
      </c>
      <c r="E5" s="73">
        <f>IF(C12&lt;=15500,C5*C12*0.15/1.2,0)/1000/C13</f>
        <v>0</v>
      </c>
      <c r="F5" s="58"/>
      <c r="G5" s="66" t="s">
        <v>57</v>
      </c>
      <c r="H5" s="74">
        <v>70</v>
      </c>
      <c r="J5" s="59"/>
    </row>
    <row r="6" spans="2:10" x14ac:dyDescent="0.25">
      <c r="B6" s="66" t="s">
        <v>11</v>
      </c>
      <c r="C6" s="70" t="s">
        <v>12</v>
      </c>
      <c r="D6" s="64">
        <f>IF($C$8&gt;15500,-6*10^-8*$C$8^2+0.0379*$C$8+500,0)</f>
        <v>0</v>
      </c>
      <c r="E6" s="73">
        <f>IF($C$12&gt;15500,(-6*10^-8*$C$12^2+0.0379*$C$12+500)*0.15/(1),0)/$C$13</f>
        <v>0</v>
      </c>
      <c r="F6" s="58"/>
      <c r="G6" s="66" t="s">
        <v>27</v>
      </c>
      <c r="H6" s="74">
        <v>10</v>
      </c>
      <c r="J6" s="59"/>
    </row>
    <row r="7" spans="2:10" x14ac:dyDescent="0.25">
      <c r="B7" s="58"/>
      <c r="E7" s="59"/>
      <c r="G7" s="66" t="s">
        <v>58</v>
      </c>
      <c r="H7" s="74">
        <v>100</v>
      </c>
      <c r="J7" s="59"/>
    </row>
    <row r="8" spans="2:10" x14ac:dyDescent="0.25">
      <c r="B8" s="90" t="s">
        <v>13</v>
      </c>
      <c r="C8" s="91">
        <f>'Population Calculator'!D13</f>
        <v>0</v>
      </c>
      <c r="D8" s="92"/>
      <c r="E8" s="59"/>
      <c r="G8" s="66" t="s">
        <v>59</v>
      </c>
      <c r="H8" s="74">
        <v>0</v>
      </c>
      <c r="J8" s="59"/>
    </row>
    <row r="9" spans="2:10" x14ac:dyDescent="0.25">
      <c r="B9" s="60" t="s">
        <v>14</v>
      </c>
      <c r="D9">
        <f>SUM(D5:D6)</f>
        <v>0</v>
      </c>
      <c r="E9" s="59"/>
      <c r="G9" s="66" t="s">
        <v>60</v>
      </c>
      <c r="H9" s="65">
        <v>0.3</v>
      </c>
      <c r="J9" s="59"/>
    </row>
    <row r="10" spans="2:10" x14ac:dyDescent="0.25">
      <c r="B10" s="93" t="s">
        <v>14</v>
      </c>
      <c r="C10" s="94"/>
      <c r="D10" s="94">
        <f>1*D9</f>
        <v>0</v>
      </c>
      <c r="E10" s="59"/>
      <c r="G10" s="58"/>
      <c r="J10" s="59"/>
    </row>
    <row r="11" spans="2:10" ht="15.75" x14ac:dyDescent="0.25">
      <c r="B11" s="60"/>
      <c r="E11" s="59"/>
      <c r="G11" s="296" t="s">
        <v>61</v>
      </c>
      <c r="H11" s="297"/>
      <c r="I11" s="298"/>
      <c r="J11" s="59"/>
    </row>
    <row r="12" spans="2:10" x14ac:dyDescent="0.25">
      <c r="B12" s="90" t="s">
        <v>15</v>
      </c>
      <c r="C12" s="176">
        <f>'Population Calculator'!D22</f>
        <v>0</v>
      </c>
      <c r="D12" s="92"/>
      <c r="E12" s="96"/>
      <c r="G12" s="66" t="s">
        <v>62</v>
      </c>
      <c r="H12" s="76">
        <v>5</v>
      </c>
      <c r="I12" s="77"/>
      <c r="J12" s="59"/>
    </row>
    <row r="13" spans="2:10" x14ac:dyDescent="0.25">
      <c r="B13" s="60" t="s">
        <v>16</v>
      </c>
      <c r="C13" s="142">
        <f>IF('Population Calculator'!D18="","1",'Population Calculator'!D18)</f>
        <v>1</v>
      </c>
      <c r="E13" s="59"/>
      <c r="G13" s="66" t="s">
        <v>63</v>
      </c>
      <c r="H13" s="76">
        <v>1</v>
      </c>
      <c r="I13" s="77" t="s">
        <v>64</v>
      </c>
      <c r="J13" s="59"/>
    </row>
    <row r="14" spans="2:10" x14ac:dyDescent="0.25">
      <c r="B14" s="60" t="s">
        <v>14</v>
      </c>
      <c r="E14" s="59">
        <f>SUM(E5:E6)</f>
        <v>0</v>
      </c>
      <c r="G14" s="66" t="s">
        <v>65</v>
      </c>
      <c r="H14" s="76">
        <v>3000</v>
      </c>
      <c r="I14" s="77" t="s">
        <v>1</v>
      </c>
      <c r="J14" s="59"/>
    </row>
    <row r="15" spans="2:10" x14ac:dyDescent="0.25">
      <c r="B15" s="93" t="s">
        <v>14</v>
      </c>
      <c r="C15" s="94"/>
      <c r="D15" s="94"/>
      <c r="E15" s="95">
        <f>1*E14</f>
        <v>0</v>
      </c>
      <c r="G15" s="66" t="s">
        <v>66</v>
      </c>
      <c r="H15" s="76">
        <v>5</v>
      </c>
      <c r="I15" s="77" t="s">
        <v>67</v>
      </c>
      <c r="J15" s="59"/>
    </row>
    <row r="16" spans="2:10" ht="15.75" thickBot="1" x14ac:dyDescent="0.3">
      <c r="B16" s="60"/>
      <c r="E16" s="59"/>
      <c r="G16" s="66" t="s">
        <v>68</v>
      </c>
      <c r="H16" s="76">
        <v>5</v>
      </c>
      <c r="I16" s="77" t="s">
        <v>67</v>
      </c>
      <c r="J16" s="59"/>
    </row>
    <row r="17" spans="2:10" ht="16.5" thickTop="1" thickBot="1" x14ac:dyDescent="0.3">
      <c r="B17" s="97" t="s">
        <v>17</v>
      </c>
      <c r="C17" s="98"/>
      <c r="D17" s="98"/>
      <c r="E17" s="99">
        <f>SUM(D10,E15)</f>
        <v>0</v>
      </c>
      <c r="G17" s="66" t="s">
        <v>69</v>
      </c>
      <c r="H17" s="76">
        <v>3</v>
      </c>
      <c r="I17" s="77" t="s">
        <v>67</v>
      </c>
      <c r="J17" s="59"/>
    </row>
    <row r="18" spans="2:10" ht="15.75" thickTop="1" x14ac:dyDescent="0.25">
      <c r="B18" s="228"/>
      <c r="E18" s="59"/>
      <c r="G18" s="66" t="s">
        <v>188</v>
      </c>
      <c r="H18" s="76">
        <v>3</v>
      </c>
      <c r="I18" s="77" t="s">
        <v>67</v>
      </c>
      <c r="J18" s="59"/>
    </row>
    <row r="19" spans="2:10" x14ac:dyDescent="0.25">
      <c r="B19" s="61"/>
      <c r="C19" s="62"/>
      <c r="D19" s="62"/>
      <c r="E19" s="63"/>
      <c r="G19" s="58"/>
      <c r="J19" s="59"/>
    </row>
    <row r="20" spans="2:10" ht="15.75" x14ac:dyDescent="0.25">
      <c r="G20" s="83" t="s">
        <v>70</v>
      </c>
      <c r="H20" s="65">
        <v>0.35</v>
      </c>
      <c r="J20" s="59"/>
    </row>
    <row r="21" spans="2:10" ht="18.75" x14ac:dyDescent="0.3">
      <c r="B21" s="299" t="s">
        <v>156</v>
      </c>
      <c r="C21" s="300"/>
      <c r="D21" s="300"/>
      <c r="E21" s="301"/>
      <c r="G21" s="58"/>
      <c r="J21" s="59"/>
    </row>
    <row r="22" spans="2:10" ht="15.75" x14ac:dyDescent="0.25">
      <c r="B22" s="58"/>
      <c r="E22" s="59"/>
      <c r="G22" s="296" t="s">
        <v>71</v>
      </c>
      <c r="H22" s="297"/>
      <c r="I22" s="298"/>
      <c r="J22" s="59"/>
    </row>
    <row r="23" spans="2:10" x14ac:dyDescent="0.25">
      <c r="B23" s="66" t="s">
        <v>157</v>
      </c>
      <c r="C23" s="65">
        <v>0.25</v>
      </c>
      <c r="E23" s="59"/>
      <c r="G23" s="66" t="s">
        <v>72</v>
      </c>
      <c r="H23" s="74">
        <v>20</v>
      </c>
      <c r="I23" s="64" t="s">
        <v>73</v>
      </c>
      <c r="J23" s="59"/>
    </row>
    <row r="24" spans="2:10" x14ac:dyDescent="0.25">
      <c r="B24" s="66" t="s">
        <v>40</v>
      </c>
      <c r="C24" s="65">
        <v>0.7</v>
      </c>
      <c r="E24" s="59"/>
      <c r="G24" s="66" t="s">
        <v>74</v>
      </c>
      <c r="H24" s="74">
        <v>7</v>
      </c>
      <c r="I24" s="64" t="s">
        <v>75</v>
      </c>
      <c r="J24" s="59"/>
    </row>
    <row r="25" spans="2:10" x14ac:dyDescent="0.25">
      <c r="B25" s="66" t="s">
        <v>41</v>
      </c>
      <c r="C25" s="65">
        <v>0.2</v>
      </c>
      <c r="E25" s="59"/>
      <c r="G25" s="66" t="s">
        <v>76</v>
      </c>
      <c r="H25" s="74">
        <v>5</v>
      </c>
      <c r="I25" s="64" t="s">
        <v>75</v>
      </c>
      <c r="J25" s="59"/>
    </row>
    <row r="26" spans="2:10" x14ac:dyDescent="0.25">
      <c r="B26" s="66" t="s">
        <v>42</v>
      </c>
      <c r="C26" s="65">
        <v>0.1</v>
      </c>
      <c r="E26" s="59"/>
      <c r="G26" s="66" t="s">
        <v>77</v>
      </c>
      <c r="H26" s="74">
        <v>4</v>
      </c>
      <c r="I26" s="64" t="s">
        <v>75</v>
      </c>
      <c r="J26" s="59"/>
    </row>
    <row r="27" spans="2:10" x14ac:dyDescent="0.25">
      <c r="B27" s="61"/>
      <c r="C27" s="62"/>
      <c r="D27" s="62"/>
      <c r="E27" s="63"/>
      <c r="G27" s="66" t="s">
        <v>78</v>
      </c>
      <c r="H27" s="74">
        <v>3</v>
      </c>
      <c r="I27" s="64" t="s">
        <v>75</v>
      </c>
      <c r="J27" s="59"/>
    </row>
    <row r="28" spans="2:10" x14ac:dyDescent="0.25">
      <c r="G28" s="66" t="s">
        <v>79</v>
      </c>
      <c r="H28" s="74">
        <v>2</v>
      </c>
      <c r="I28" s="64" t="s">
        <v>75</v>
      </c>
      <c r="J28" s="59"/>
    </row>
    <row r="29" spans="2:10" x14ac:dyDescent="0.25">
      <c r="G29" s="66" t="s">
        <v>80</v>
      </c>
      <c r="H29" s="74">
        <v>1</v>
      </c>
      <c r="I29" s="64" t="s">
        <v>75</v>
      </c>
      <c r="J29" s="59"/>
    </row>
    <row r="30" spans="2:10" x14ac:dyDescent="0.25">
      <c r="B30" s="295" t="s">
        <v>175</v>
      </c>
      <c r="C30" s="295"/>
      <c r="D30" s="295"/>
      <c r="E30" s="295"/>
      <c r="G30" s="66" t="s">
        <v>81</v>
      </c>
      <c r="H30" s="74">
        <v>5</v>
      </c>
      <c r="I30" s="64" t="s">
        <v>67</v>
      </c>
      <c r="J30" s="59"/>
    </row>
    <row r="31" spans="2:10" x14ac:dyDescent="0.25">
      <c r="B31" s="80" t="s">
        <v>0</v>
      </c>
      <c r="C31" s="81"/>
      <c r="D31" s="81"/>
      <c r="E31" s="82"/>
      <c r="G31" s="66" t="s">
        <v>82</v>
      </c>
      <c r="H31" s="74">
        <v>3</v>
      </c>
      <c r="I31" s="64" t="s">
        <v>67</v>
      </c>
      <c r="J31" s="59"/>
    </row>
    <row r="32" spans="2:10" x14ac:dyDescent="0.25">
      <c r="B32" s="58" t="s">
        <v>176</v>
      </c>
      <c r="C32">
        <f>IF('Population Calculator'!D8="No",'Population Calculator'!D6,'Population Calculator'!D6+'Population Calculator'!D11)</f>
        <v>0</v>
      </c>
      <c r="E32" s="59"/>
      <c r="G32" s="66" t="s">
        <v>83</v>
      </c>
      <c r="H32" s="74">
        <v>1.8</v>
      </c>
      <c r="I32" s="64" t="s">
        <v>67</v>
      </c>
      <c r="J32" s="59"/>
    </row>
    <row r="33" spans="2:10" x14ac:dyDescent="0.25">
      <c r="B33" s="61" t="s">
        <v>3</v>
      </c>
      <c r="C33" s="188">
        <f>IF('Population Calculator'!D16="No",0,('Population Calculator'!D19+'Population Calculator'!D20))</f>
        <v>0</v>
      </c>
      <c r="D33" s="62"/>
      <c r="E33" s="63"/>
      <c r="G33" s="58"/>
      <c r="J33" s="59"/>
    </row>
    <row r="34" spans="2:10" ht="15.75" x14ac:dyDescent="0.25">
      <c r="G34" s="83" t="s">
        <v>84</v>
      </c>
      <c r="H34" s="75" t="s">
        <v>170</v>
      </c>
      <c r="I34" s="75" t="s">
        <v>85</v>
      </c>
      <c r="J34" s="84" t="s">
        <v>171</v>
      </c>
    </row>
    <row r="35" spans="2:10" x14ac:dyDescent="0.25">
      <c r="G35" s="66" t="s">
        <v>43</v>
      </c>
      <c r="H35" s="78">
        <v>0</v>
      </c>
      <c r="I35" s="79">
        <v>0.05</v>
      </c>
      <c r="J35" s="85">
        <v>15</v>
      </c>
    </row>
    <row r="36" spans="2:10" x14ac:dyDescent="0.25">
      <c r="G36" s="66" t="s">
        <v>44</v>
      </c>
      <c r="H36" s="78">
        <v>0</v>
      </c>
      <c r="I36" s="79">
        <v>0.05</v>
      </c>
      <c r="J36" s="85">
        <v>20</v>
      </c>
    </row>
    <row r="37" spans="2:10" x14ac:dyDescent="0.25">
      <c r="G37" s="66" t="s">
        <v>180</v>
      </c>
      <c r="H37" s="78">
        <v>0</v>
      </c>
      <c r="I37" s="79">
        <v>7.0000000000000007E-2</v>
      </c>
      <c r="J37" s="85">
        <v>50</v>
      </c>
    </row>
    <row r="38" spans="2:10" x14ac:dyDescent="0.25">
      <c r="G38" s="66" t="s">
        <v>86</v>
      </c>
      <c r="H38" s="78">
        <v>0</v>
      </c>
      <c r="I38" s="79">
        <v>0.05</v>
      </c>
      <c r="J38" s="85">
        <v>50</v>
      </c>
    </row>
    <row r="39" spans="2:10" x14ac:dyDescent="0.25">
      <c r="G39" s="292"/>
      <c r="H39" s="293"/>
      <c r="I39" s="293"/>
      <c r="J39" s="294"/>
    </row>
    <row r="40" spans="2:10" x14ac:dyDescent="0.25">
      <c r="G40" s="66" t="s">
        <v>87</v>
      </c>
      <c r="H40" s="78">
        <v>0</v>
      </c>
      <c r="I40" s="79">
        <v>7.0000000000000007E-2</v>
      </c>
      <c r="J40" s="85">
        <v>200</v>
      </c>
    </row>
    <row r="41" spans="2:10" x14ac:dyDescent="0.25">
      <c r="G41" s="66" t="s">
        <v>88</v>
      </c>
      <c r="H41" s="78">
        <v>0</v>
      </c>
      <c r="I41" s="79">
        <v>0</v>
      </c>
      <c r="J41" s="85">
        <v>100</v>
      </c>
    </row>
    <row r="42" spans="2:10" x14ac:dyDescent="0.25">
      <c r="G42" s="66" t="s">
        <v>89</v>
      </c>
      <c r="H42" s="78">
        <v>0</v>
      </c>
      <c r="I42" s="79">
        <v>7.0000000000000007E-2</v>
      </c>
      <c r="J42" s="85">
        <v>100</v>
      </c>
    </row>
    <row r="43" spans="2:10" x14ac:dyDescent="0.25">
      <c r="G43" s="66" t="s">
        <v>90</v>
      </c>
      <c r="H43" s="78">
        <v>0</v>
      </c>
      <c r="I43" s="79">
        <v>7.0000000000000007E-2</v>
      </c>
      <c r="J43" s="85">
        <v>100</v>
      </c>
    </row>
    <row r="44" spans="2:10" x14ac:dyDescent="0.25">
      <c r="G44" s="292"/>
      <c r="H44" s="293"/>
      <c r="I44" s="293"/>
      <c r="J44" s="294"/>
    </row>
    <row r="45" spans="2:10" x14ac:dyDescent="0.25">
      <c r="G45" s="66" t="s">
        <v>91</v>
      </c>
      <c r="H45" s="78">
        <v>0</v>
      </c>
      <c r="I45" s="79">
        <v>7.0000000000000007E-2</v>
      </c>
      <c r="J45" s="85">
        <v>100</v>
      </c>
    </row>
    <row r="46" spans="2:10" x14ac:dyDescent="0.25">
      <c r="G46" s="66" t="s">
        <v>92</v>
      </c>
      <c r="H46" s="78">
        <v>0</v>
      </c>
      <c r="I46" s="79">
        <v>7.0000000000000007E-2</v>
      </c>
      <c r="J46" s="85">
        <v>100</v>
      </c>
    </row>
    <row r="47" spans="2:10" x14ac:dyDescent="0.25">
      <c r="G47" s="66" t="s">
        <v>93</v>
      </c>
      <c r="H47" s="78">
        <v>0</v>
      </c>
      <c r="I47" s="79">
        <v>0.05</v>
      </c>
      <c r="J47" s="85">
        <v>100</v>
      </c>
    </row>
    <row r="48" spans="2:10" x14ac:dyDescent="0.25">
      <c r="G48" s="66" t="s">
        <v>94</v>
      </c>
      <c r="H48" s="78">
        <v>0</v>
      </c>
      <c r="I48" s="79">
        <v>7.0000000000000007E-2</v>
      </c>
      <c r="J48" s="85">
        <v>100</v>
      </c>
    </row>
    <row r="49" spans="7:10" x14ac:dyDescent="0.25">
      <c r="G49" s="292"/>
      <c r="H49" s="293"/>
      <c r="I49" s="293"/>
      <c r="J49" s="294"/>
    </row>
    <row r="50" spans="7:10" x14ac:dyDescent="0.25">
      <c r="G50" s="66" t="s">
        <v>95</v>
      </c>
      <c r="H50" s="78">
        <v>0</v>
      </c>
      <c r="I50" s="79">
        <v>0.1</v>
      </c>
      <c r="J50" s="85">
        <v>200</v>
      </c>
    </row>
    <row r="51" spans="7:10" x14ac:dyDescent="0.25">
      <c r="G51" s="66" t="s">
        <v>96</v>
      </c>
      <c r="H51" s="78">
        <v>0</v>
      </c>
      <c r="I51" s="79">
        <v>0.05</v>
      </c>
      <c r="J51" s="85">
        <v>100</v>
      </c>
    </row>
    <row r="52" spans="7:10" x14ac:dyDescent="0.25">
      <c r="G52" s="66" t="s">
        <v>97</v>
      </c>
      <c r="H52" s="78">
        <v>0</v>
      </c>
      <c r="I52" s="79">
        <v>0</v>
      </c>
      <c r="J52" s="85">
        <v>100</v>
      </c>
    </row>
    <row r="53" spans="7:10" x14ac:dyDescent="0.25">
      <c r="G53" s="66" t="s">
        <v>98</v>
      </c>
      <c r="H53" s="78">
        <v>0</v>
      </c>
      <c r="I53" s="79">
        <v>0</v>
      </c>
      <c r="J53" s="85">
        <v>100</v>
      </c>
    </row>
    <row r="54" spans="7:10" x14ac:dyDescent="0.25">
      <c r="G54" s="292"/>
      <c r="H54" s="293"/>
      <c r="I54" s="293"/>
      <c r="J54" s="294"/>
    </row>
    <row r="55" spans="7:10" x14ac:dyDescent="0.25">
      <c r="G55" s="66" t="s">
        <v>99</v>
      </c>
      <c r="H55" s="78">
        <v>0</v>
      </c>
      <c r="I55" s="79">
        <v>7.0000000000000007E-2</v>
      </c>
      <c r="J55" s="85">
        <v>200</v>
      </c>
    </row>
    <row r="56" spans="7:10" x14ac:dyDescent="0.25">
      <c r="G56" s="66" t="s">
        <v>100</v>
      </c>
      <c r="H56" s="78">
        <v>0</v>
      </c>
      <c r="I56" s="79">
        <v>0</v>
      </c>
      <c r="J56" s="85">
        <v>200</v>
      </c>
    </row>
    <row r="57" spans="7:10" x14ac:dyDescent="0.25">
      <c r="G57" s="66" t="s">
        <v>101</v>
      </c>
      <c r="H57" s="78">
        <v>0</v>
      </c>
      <c r="I57" s="79">
        <v>0.05</v>
      </c>
      <c r="J57" s="85">
        <v>100</v>
      </c>
    </row>
    <row r="58" spans="7:10" x14ac:dyDescent="0.25">
      <c r="G58" s="66" t="s">
        <v>102</v>
      </c>
      <c r="H58" s="78">
        <v>0</v>
      </c>
      <c r="I58" s="79">
        <v>7.0000000000000007E-2</v>
      </c>
      <c r="J58" s="85">
        <v>100</v>
      </c>
    </row>
    <row r="59" spans="7:10" x14ac:dyDescent="0.25">
      <c r="G59" s="66" t="s">
        <v>103</v>
      </c>
      <c r="H59" s="78">
        <v>0</v>
      </c>
      <c r="I59" s="79">
        <v>0.05</v>
      </c>
      <c r="J59" s="85">
        <v>100</v>
      </c>
    </row>
    <row r="60" spans="7:10" x14ac:dyDescent="0.25">
      <c r="G60" s="66" t="s">
        <v>104</v>
      </c>
      <c r="H60" s="78">
        <v>0</v>
      </c>
      <c r="I60" s="79">
        <v>0.05</v>
      </c>
      <c r="J60" s="85">
        <v>100</v>
      </c>
    </row>
    <row r="61" spans="7:10" x14ac:dyDescent="0.25">
      <c r="G61" s="66" t="s">
        <v>105</v>
      </c>
      <c r="H61" s="78">
        <v>0</v>
      </c>
      <c r="I61" s="79">
        <v>7.0000000000000007E-2</v>
      </c>
      <c r="J61" s="85">
        <v>100</v>
      </c>
    </row>
    <row r="62" spans="7:10" x14ac:dyDescent="0.25">
      <c r="G62" s="66" t="s">
        <v>106</v>
      </c>
      <c r="H62" s="78">
        <v>0</v>
      </c>
      <c r="I62" s="79">
        <v>0</v>
      </c>
      <c r="J62" s="85">
        <v>200</v>
      </c>
    </row>
    <row r="63" spans="7:10" x14ac:dyDescent="0.25">
      <c r="G63" s="292"/>
      <c r="H63" s="293"/>
      <c r="I63" s="293"/>
      <c r="J63" s="294"/>
    </row>
    <row r="64" spans="7:10" x14ac:dyDescent="0.25">
      <c r="G64" s="66" t="s">
        <v>45</v>
      </c>
      <c r="H64" s="78">
        <v>0</v>
      </c>
      <c r="I64" s="79">
        <v>0</v>
      </c>
      <c r="J64" s="85">
        <v>200</v>
      </c>
    </row>
    <row r="65" spans="7:10" x14ac:dyDescent="0.25">
      <c r="G65" s="66" t="s">
        <v>107</v>
      </c>
      <c r="H65" s="78">
        <v>0</v>
      </c>
      <c r="I65" s="79">
        <v>0</v>
      </c>
      <c r="J65" s="85">
        <v>200</v>
      </c>
    </row>
    <row r="66" spans="7:10" x14ac:dyDescent="0.25">
      <c r="G66" s="66" t="s">
        <v>108</v>
      </c>
      <c r="H66" s="78">
        <v>0</v>
      </c>
      <c r="I66" s="79">
        <v>0</v>
      </c>
      <c r="J66" s="85">
        <v>200</v>
      </c>
    </row>
    <row r="67" spans="7:10" x14ac:dyDescent="0.25">
      <c r="G67" s="66" t="s">
        <v>109</v>
      </c>
      <c r="H67" s="78">
        <v>0</v>
      </c>
      <c r="I67" s="79">
        <v>0</v>
      </c>
      <c r="J67" s="85">
        <v>100</v>
      </c>
    </row>
    <row r="68" spans="7:10" x14ac:dyDescent="0.25">
      <c r="G68" s="292"/>
      <c r="H68" s="293"/>
      <c r="I68" s="293"/>
      <c r="J68" s="294"/>
    </row>
    <row r="69" spans="7:10" x14ac:dyDescent="0.25">
      <c r="G69" s="66" t="s">
        <v>110</v>
      </c>
      <c r="H69" s="78"/>
      <c r="I69" s="89">
        <v>1.5</v>
      </c>
      <c r="J69" s="85"/>
    </row>
    <row r="70" spans="7:10" x14ac:dyDescent="0.25">
      <c r="G70" s="66" t="s">
        <v>111</v>
      </c>
      <c r="H70" s="78"/>
      <c r="I70" s="89">
        <v>2</v>
      </c>
      <c r="J70" s="85"/>
    </row>
    <row r="71" spans="7:10" x14ac:dyDescent="0.25">
      <c r="G71" s="66" t="s">
        <v>112</v>
      </c>
      <c r="H71" s="78"/>
      <c r="I71" s="89">
        <v>3</v>
      </c>
      <c r="J71" s="85"/>
    </row>
    <row r="72" spans="7:10" x14ac:dyDescent="0.25">
      <c r="G72" s="86" t="s">
        <v>113</v>
      </c>
      <c r="H72" s="87"/>
      <c r="I72" s="185">
        <v>2</v>
      </c>
      <c r="J72" s="88"/>
    </row>
  </sheetData>
  <mergeCells count="13">
    <mergeCell ref="B30:E30"/>
    <mergeCell ref="G22:I22"/>
    <mergeCell ref="B2:E2"/>
    <mergeCell ref="B21:E21"/>
    <mergeCell ref="G2:J2"/>
    <mergeCell ref="G4:H4"/>
    <mergeCell ref="G11:I11"/>
    <mergeCell ref="G39:J39"/>
    <mergeCell ref="G44:J44"/>
    <mergeCell ref="G54:J54"/>
    <mergeCell ref="G49:J49"/>
    <mergeCell ref="G68:J68"/>
    <mergeCell ref="G63:J63"/>
  </mergeCells>
  <pageMargins left="0.7" right="0.7" top="0.75" bottom="0.75" header="0.3" footer="0.3"/>
  <pageSetup paperSize="256" orientation="portrait" horizontalDpi="203" verticalDpi="20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93AB3-FC79-40BE-90BB-A060003252C7}">
  <dimension ref="C3:C4"/>
  <sheetViews>
    <sheetView workbookViewId="0">
      <selection activeCell="C3" sqref="C3:C4"/>
    </sheetView>
  </sheetViews>
  <sheetFormatPr defaultRowHeight="15" x14ac:dyDescent="0.25"/>
  <sheetData>
    <row r="3" spans="3:3" x14ac:dyDescent="0.25">
      <c r="C3" t="s">
        <v>18</v>
      </c>
    </row>
    <row r="4" spans="3:3" x14ac:dyDescent="0.25">
      <c r="C4" t="s">
        <v>19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Population Calculator</vt:lpstr>
      <vt:lpstr>Service Calculator</vt:lpstr>
      <vt:lpstr>Renovation Calculator</vt:lpstr>
      <vt:lpstr>Formula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People Places builidng calculator</dc:title>
  <dc:subject>public libraries, building, planning, size</dc:subject>
  <dc:creator>State Library of NSW</dc:creator>
  <cp:lastModifiedBy>Kate O'Grady</cp:lastModifiedBy>
  <dcterms:created xsi:type="dcterms:W3CDTF">2018-11-27T04:18:58Z</dcterms:created>
  <dcterms:modified xsi:type="dcterms:W3CDTF">2019-03-28T05:00:19Z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Header">
    <vt:lpwstr/>
  </property>
  <property fmtid="{D5CDD505-2E9C-101B-9397-08002B2CF9AE}" pid="3" name="PM_ProtectiveMarkingValue_Footer">
    <vt:lpwstr/>
  </property>
</Properties>
</file>